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DRE\LSSA kompas\kompo info\Renginiai\2018-2019\Ziemos lengvoji atletika\"/>
    </mc:Choice>
  </mc:AlternateContent>
  <bookViews>
    <workbookView xWindow="0" yWindow="0" windowWidth="28800" windowHeight="12330" firstSheet="15" activeTab="27"/>
  </bookViews>
  <sheets>
    <sheet name="LSSA" sheetId="16" r:id="rId1"/>
    <sheet name="60 M bėg." sheetId="4" r:id="rId2"/>
    <sheet name="60 M Suvestinė" sheetId="15" r:id="rId3"/>
    <sheet name="60 V bėg." sheetId="12" r:id="rId4"/>
    <sheet name="60 V Suvestinė" sheetId="10" r:id="rId5"/>
    <sheet name="200 M bėg." sheetId="24" r:id="rId6"/>
    <sheet name="200 M Suvestinė" sheetId="25" r:id="rId7"/>
    <sheet name="200 V bėg" sheetId="28" r:id="rId8"/>
    <sheet name="200 V Suvestinė" sheetId="29" r:id="rId9"/>
    <sheet name="400 M bėg. " sheetId="13" r:id="rId10"/>
    <sheet name="400 M Suvestinė" sheetId="14" r:id="rId11"/>
    <sheet name="400 V bėg." sheetId="17" r:id="rId12"/>
    <sheet name="400 V Suvestinė" sheetId="18" r:id="rId13"/>
    <sheet name="800 M" sheetId="21" r:id="rId14"/>
    <sheet name="800 V bėg." sheetId="19" r:id="rId15"/>
    <sheet name="800 V Suvestinė" sheetId="20" r:id="rId16"/>
    <sheet name="1500 M" sheetId="26" r:id="rId17"/>
    <sheet name="1500 V" sheetId="27" r:id="rId18"/>
    <sheet name="3000 V" sheetId="7" r:id="rId19"/>
    <sheet name="60bb M" sheetId="5" r:id="rId20"/>
    <sheet name="60bb V" sheetId="6" r:id="rId21"/>
    <sheet name="4x200 M" sheetId="31" r:id="rId22"/>
    <sheet name="4x200 V" sheetId="33" r:id="rId23"/>
    <sheet name="3000ej M" sheetId="1" r:id="rId24"/>
    <sheet name="Aukstis M" sheetId="22" r:id="rId25"/>
    <sheet name="Aukstis V" sheetId="30" r:id="rId26"/>
    <sheet name="Kartis M" sheetId="9" r:id="rId27"/>
    <sheet name="Tolis M" sheetId="2" r:id="rId28"/>
    <sheet name="Tolis V" sheetId="8" r:id="rId29"/>
    <sheet name="Trisuolis M" sheetId="23" r:id="rId30"/>
    <sheet name="Trisuolis V" sheetId="32" r:id="rId31"/>
    <sheet name="Rutulys M" sheetId="3" r:id="rId32"/>
    <sheet name="Rutulys V" sheetId="11" r:id="rId33"/>
    <sheet name="KOMANDINIAI" sheetId="34" r:id="rId34"/>
  </sheets>
  <definedNames>
    <definedName name="_xlnm._FilterDatabase" localSheetId="27" hidden="1">'Tolis M'!$A$8:$Q$8</definedName>
    <definedName name="_xlnm._FilterDatabase" localSheetId="28" hidden="1">'Tolis V'!$O$8:$O$8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P11" i="2" s="1"/>
  <c r="G11" i="2" l="1"/>
  <c r="I20" i="33"/>
  <c r="G20" i="33"/>
  <c r="I16" i="33"/>
  <c r="G16" i="33"/>
  <c r="I12" i="33"/>
  <c r="G12" i="33"/>
  <c r="I8" i="33"/>
  <c r="G8" i="33"/>
  <c r="O15" i="32" l="1"/>
  <c r="P15" i="32" s="1"/>
  <c r="O14" i="32"/>
  <c r="P14" i="32" s="1"/>
  <c r="O13" i="32"/>
  <c r="P13" i="32" s="1"/>
  <c r="O12" i="32"/>
  <c r="P12" i="32" s="1"/>
  <c r="O11" i="32"/>
  <c r="G11" i="32" s="1"/>
  <c r="O10" i="32"/>
  <c r="P10" i="32" s="1"/>
  <c r="G10" i="32"/>
  <c r="O9" i="32"/>
  <c r="P9" i="32" s="1"/>
  <c r="J9" i="31"/>
  <c r="G9" i="31"/>
  <c r="J21" i="31"/>
  <c r="G21" i="31"/>
  <c r="J13" i="31"/>
  <c r="G13" i="31"/>
  <c r="J17" i="31"/>
  <c r="G17" i="31"/>
  <c r="G12" i="32" l="1"/>
  <c r="G9" i="32"/>
  <c r="P11" i="32"/>
  <c r="G13" i="32"/>
  <c r="Q12" i="30" l="1"/>
  <c r="G12" i="30"/>
  <c r="Q11" i="30"/>
  <c r="G11" i="30"/>
  <c r="Q10" i="30"/>
  <c r="G10" i="30"/>
  <c r="Q13" i="30"/>
  <c r="Q9" i="30"/>
  <c r="G9" i="30"/>
  <c r="G9" i="29" l="1"/>
  <c r="J9" i="29"/>
  <c r="G10" i="29"/>
  <c r="J10" i="29"/>
  <c r="G11" i="29"/>
  <c r="J11" i="29"/>
  <c r="G12" i="29"/>
  <c r="J12" i="29"/>
  <c r="G13" i="29"/>
  <c r="J13" i="29"/>
  <c r="G14" i="29"/>
  <c r="J14" i="29"/>
  <c r="G15" i="29"/>
  <c r="J15" i="29"/>
  <c r="G16" i="29"/>
  <c r="J16" i="29"/>
  <c r="J17" i="29"/>
  <c r="J18" i="29"/>
  <c r="J19" i="29"/>
  <c r="J20" i="29"/>
  <c r="J21" i="29"/>
  <c r="J22" i="29"/>
  <c r="J23" i="29"/>
  <c r="J24" i="29"/>
  <c r="J25" i="29"/>
  <c r="G9" i="28"/>
  <c r="I9" i="28"/>
  <c r="G10" i="28"/>
  <c r="I10" i="28"/>
  <c r="G11" i="28"/>
  <c r="I11" i="28"/>
  <c r="G12" i="28"/>
  <c r="I12" i="28"/>
  <c r="I17" i="28"/>
  <c r="I18" i="28"/>
  <c r="I19" i="28"/>
  <c r="G24" i="28"/>
  <c r="I24" i="28"/>
  <c r="G25" i="28"/>
  <c r="I25" i="28"/>
  <c r="I26" i="28"/>
  <c r="I27" i="28"/>
  <c r="G32" i="28"/>
  <c r="I32" i="28"/>
  <c r="I33" i="28"/>
  <c r="I34" i="28"/>
  <c r="G39" i="28"/>
  <c r="I39" i="28"/>
  <c r="I40" i="28"/>
  <c r="I41" i="28"/>
  <c r="G9" i="27"/>
  <c r="I9" i="27"/>
  <c r="G10" i="27"/>
  <c r="I10" i="27"/>
  <c r="G11" i="27"/>
  <c r="I11" i="27"/>
  <c r="I12" i="27"/>
  <c r="I13" i="27"/>
  <c r="I14" i="27"/>
  <c r="I15" i="27"/>
  <c r="I16" i="27"/>
  <c r="I14" i="26" l="1"/>
  <c r="I15" i="26"/>
  <c r="I13" i="26"/>
  <c r="I12" i="26"/>
  <c r="G12" i="26"/>
  <c r="I11" i="26"/>
  <c r="G11" i="26"/>
  <c r="I10" i="26"/>
  <c r="G10" i="26"/>
  <c r="I9" i="26"/>
  <c r="G9" i="26"/>
  <c r="G9" i="25" l="1"/>
  <c r="J9" i="25"/>
  <c r="G10" i="25"/>
  <c r="J10" i="25"/>
  <c r="G11" i="25"/>
  <c r="J11" i="25"/>
  <c r="G12" i="25"/>
  <c r="J12" i="25"/>
  <c r="G13" i="25"/>
  <c r="J13" i="25"/>
  <c r="G14" i="25"/>
  <c r="J14" i="25"/>
  <c r="G15" i="25"/>
  <c r="J15" i="25"/>
  <c r="G16" i="25"/>
  <c r="J16" i="25"/>
  <c r="G17" i="25"/>
  <c r="J17" i="25"/>
  <c r="G18" i="25"/>
  <c r="J18" i="25"/>
  <c r="G19" i="25"/>
  <c r="J19" i="25"/>
  <c r="J20" i="25"/>
  <c r="J21" i="25"/>
  <c r="J22" i="25"/>
  <c r="G9" i="24"/>
  <c r="J9" i="24"/>
  <c r="G10" i="24"/>
  <c r="J10" i="24"/>
  <c r="G11" i="24"/>
  <c r="J11" i="24"/>
  <c r="J12" i="24"/>
  <c r="G17" i="24"/>
  <c r="J17" i="24"/>
  <c r="G18" i="24"/>
  <c r="J18" i="24"/>
  <c r="G19" i="24"/>
  <c r="J19" i="24"/>
  <c r="J20" i="24"/>
  <c r="G25" i="24"/>
  <c r="J25" i="24"/>
  <c r="G26" i="24"/>
  <c r="J26" i="24"/>
  <c r="J27" i="24"/>
  <c r="G32" i="24"/>
  <c r="J32" i="24"/>
  <c r="G33" i="24"/>
  <c r="J33" i="24"/>
  <c r="G34" i="24"/>
  <c r="J34" i="24"/>
  <c r="G13" i="23" l="1"/>
  <c r="O12" i="23"/>
  <c r="P12" i="23" s="1"/>
  <c r="G12" i="23"/>
  <c r="O11" i="23"/>
  <c r="P11" i="23" s="1"/>
  <c r="G11" i="23"/>
  <c r="P10" i="23"/>
  <c r="O10" i="23"/>
  <c r="G10" i="23" s="1"/>
  <c r="O9" i="23"/>
  <c r="G9" i="23" s="1"/>
  <c r="Q12" i="22"/>
  <c r="G12" i="22"/>
  <c r="Q11" i="22"/>
  <c r="G11" i="22"/>
  <c r="Q10" i="22"/>
  <c r="Q9" i="22"/>
  <c r="G9" i="22"/>
  <c r="P9" i="23" l="1"/>
  <c r="G9" i="21"/>
  <c r="I9" i="21"/>
  <c r="G10" i="21"/>
  <c r="I10" i="21"/>
  <c r="G11" i="21"/>
  <c r="I11" i="21"/>
  <c r="G12" i="21"/>
  <c r="I12" i="21"/>
  <c r="I13" i="21"/>
  <c r="I23" i="20" l="1"/>
  <c r="I22" i="20"/>
  <c r="I21" i="20"/>
  <c r="I20" i="20"/>
  <c r="I19" i="20"/>
  <c r="I18" i="20"/>
  <c r="G18" i="20"/>
  <c r="I17" i="20"/>
  <c r="G17" i="20"/>
  <c r="I16" i="20"/>
  <c r="G16" i="20"/>
  <c r="I15" i="20"/>
  <c r="G15" i="20"/>
  <c r="I14" i="20"/>
  <c r="G14" i="20"/>
  <c r="I13" i="20"/>
  <c r="G13" i="20"/>
  <c r="I12" i="20"/>
  <c r="G12" i="20"/>
  <c r="I11" i="20"/>
  <c r="G11" i="20"/>
  <c r="I10" i="20"/>
  <c r="G10" i="20"/>
  <c r="I9" i="20"/>
  <c r="G9" i="20"/>
  <c r="I28" i="19"/>
  <c r="I27" i="19"/>
  <c r="G27" i="19"/>
  <c r="I26" i="19"/>
  <c r="G26" i="19"/>
  <c r="I25" i="19"/>
  <c r="G25" i="19"/>
  <c r="I24" i="19"/>
  <c r="G24" i="19"/>
  <c r="I23" i="19"/>
  <c r="G23" i="19"/>
  <c r="I22" i="19"/>
  <c r="G22" i="19"/>
  <c r="I21" i="19"/>
  <c r="G21" i="19"/>
  <c r="I15" i="19"/>
  <c r="I14" i="19"/>
  <c r="I13" i="19"/>
  <c r="I12" i="19"/>
  <c r="I11" i="19"/>
  <c r="G11" i="19"/>
  <c r="I10" i="19"/>
  <c r="G10" i="19"/>
  <c r="I9" i="19"/>
  <c r="G9" i="19"/>
  <c r="J27" i="18" l="1"/>
  <c r="J26" i="18"/>
  <c r="J25" i="18"/>
  <c r="J24" i="18"/>
  <c r="J23" i="18"/>
  <c r="J22" i="18"/>
  <c r="J21" i="18"/>
  <c r="J20" i="18"/>
  <c r="J19" i="18"/>
  <c r="G19" i="18"/>
  <c r="J18" i="18"/>
  <c r="G18" i="18"/>
  <c r="J17" i="18"/>
  <c r="G17" i="18"/>
  <c r="J16" i="18"/>
  <c r="G16" i="18"/>
  <c r="J15" i="18"/>
  <c r="G15" i="18"/>
  <c r="J14" i="18"/>
  <c r="G14" i="18"/>
  <c r="J13" i="18"/>
  <c r="G13" i="18"/>
  <c r="J12" i="18"/>
  <c r="G12" i="18"/>
  <c r="J11" i="18"/>
  <c r="G11" i="18"/>
  <c r="J10" i="18"/>
  <c r="G10" i="18"/>
  <c r="J9" i="18"/>
  <c r="G9" i="18"/>
  <c r="J43" i="17"/>
  <c r="J42" i="17"/>
  <c r="G42" i="17"/>
  <c r="J41" i="17"/>
  <c r="G41" i="17"/>
  <c r="J40" i="17"/>
  <c r="G40" i="17"/>
  <c r="J35" i="17"/>
  <c r="G35" i="17"/>
  <c r="J34" i="17"/>
  <c r="G34" i="17"/>
  <c r="J33" i="17"/>
  <c r="G33" i="17"/>
  <c r="J32" i="17"/>
  <c r="G32" i="17"/>
  <c r="J27" i="17"/>
  <c r="J26" i="17"/>
  <c r="J25" i="17"/>
  <c r="J24" i="17"/>
  <c r="J19" i="17"/>
  <c r="J18" i="17"/>
  <c r="G18" i="17"/>
  <c r="J17" i="17"/>
  <c r="J16" i="17"/>
  <c r="J11" i="17"/>
  <c r="G11" i="17"/>
  <c r="J10" i="17"/>
  <c r="G10" i="17"/>
  <c r="J9" i="17"/>
  <c r="G9" i="17"/>
  <c r="R13" i="9" l="1"/>
  <c r="R12" i="9"/>
  <c r="R11" i="9"/>
  <c r="R10" i="9"/>
  <c r="R9" i="9"/>
  <c r="L34" i="15"/>
  <c r="L33" i="15"/>
  <c r="L32" i="15"/>
  <c r="L31" i="15"/>
  <c r="L30" i="15"/>
  <c r="L29" i="15"/>
  <c r="L28" i="15"/>
  <c r="L27" i="15"/>
  <c r="L26" i="15"/>
  <c r="L25" i="15"/>
  <c r="L24" i="15"/>
  <c r="G24" i="15"/>
  <c r="L23" i="15"/>
  <c r="G23" i="15"/>
  <c r="L22" i="15"/>
  <c r="G22" i="15"/>
  <c r="L21" i="15"/>
  <c r="G21" i="15"/>
  <c r="L20" i="15"/>
  <c r="G20" i="15"/>
  <c r="L19" i="15"/>
  <c r="G19" i="15"/>
  <c r="L18" i="15"/>
  <c r="G18" i="15"/>
  <c r="L17" i="15"/>
  <c r="G17" i="15"/>
  <c r="L14" i="15"/>
  <c r="G14" i="15"/>
  <c r="L13" i="15"/>
  <c r="G13" i="15"/>
  <c r="L12" i="15"/>
  <c r="G12" i="15"/>
  <c r="L11" i="15"/>
  <c r="G11" i="15"/>
  <c r="L10" i="15"/>
  <c r="G10" i="15"/>
  <c r="L9" i="15"/>
  <c r="G9" i="15"/>
  <c r="G9" i="14"/>
  <c r="J9" i="14"/>
  <c r="G10" i="14"/>
  <c r="J10" i="14"/>
  <c r="G11" i="14"/>
  <c r="J11" i="14"/>
  <c r="G12" i="14"/>
  <c r="J12" i="14"/>
  <c r="J13" i="14"/>
  <c r="J14" i="14"/>
  <c r="J15" i="14"/>
  <c r="J16" i="14"/>
  <c r="G9" i="13"/>
  <c r="J9" i="13"/>
  <c r="G10" i="13"/>
  <c r="J10" i="13"/>
  <c r="J11" i="13"/>
  <c r="J12" i="13"/>
  <c r="G17" i="13"/>
  <c r="J17" i="13"/>
  <c r="G18" i="13"/>
  <c r="J18" i="13"/>
  <c r="J19" i="13"/>
  <c r="J20" i="13"/>
  <c r="L64" i="12" l="1"/>
  <c r="L61" i="12"/>
  <c r="G61" i="12"/>
  <c r="L60" i="12"/>
  <c r="G60" i="12"/>
  <c r="L62" i="12"/>
  <c r="G62" i="12"/>
  <c r="L63" i="12"/>
  <c r="L55" i="12"/>
  <c r="L51" i="12"/>
  <c r="G51" i="12"/>
  <c r="L53" i="12"/>
  <c r="L50" i="12"/>
  <c r="G50" i="12"/>
  <c r="L54" i="12"/>
  <c r="L52" i="12"/>
  <c r="G52" i="12"/>
  <c r="L30" i="12"/>
  <c r="G30" i="12"/>
  <c r="L29" i="12"/>
  <c r="G29" i="12"/>
  <c r="L31" i="12"/>
  <c r="L32" i="12"/>
  <c r="L33" i="12"/>
  <c r="L34" i="12"/>
  <c r="L23" i="12"/>
  <c r="L24" i="12"/>
  <c r="L21" i="12"/>
  <c r="L19" i="12"/>
  <c r="G19" i="12"/>
  <c r="L22" i="12"/>
  <c r="L20" i="12"/>
  <c r="G20" i="12"/>
  <c r="L10" i="12"/>
  <c r="G10" i="12"/>
  <c r="L13" i="12"/>
  <c r="L9" i="12"/>
  <c r="G9" i="12"/>
  <c r="L12" i="12"/>
  <c r="L14" i="12"/>
  <c r="L11" i="12"/>
  <c r="G11" i="12"/>
  <c r="O19" i="11" l="1"/>
  <c r="O13" i="11"/>
  <c r="P13" i="11" s="1"/>
  <c r="G13" i="11"/>
  <c r="O12" i="11"/>
  <c r="G12" i="11" s="1"/>
  <c r="O11" i="11"/>
  <c r="P11" i="11" s="1"/>
  <c r="G11" i="11"/>
  <c r="O10" i="11"/>
  <c r="P10" i="11" s="1"/>
  <c r="O9" i="11"/>
  <c r="P9" i="11" s="1"/>
  <c r="G9" i="11"/>
  <c r="G10" i="11" l="1"/>
  <c r="P12" i="11"/>
  <c r="L39" i="10" l="1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G23" i="10"/>
  <c r="L22" i="10"/>
  <c r="G22" i="10"/>
  <c r="L21" i="10"/>
  <c r="G21" i="10"/>
  <c r="L20" i="10"/>
  <c r="G20" i="10"/>
  <c r="L19" i="10"/>
  <c r="G19" i="10"/>
  <c r="L18" i="10"/>
  <c r="G18" i="10"/>
  <c r="L17" i="10"/>
  <c r="G17" i="10"/>
  <c r="L14" i="10"/>
  <c r="G14" i="10"/>
  <c r="L13" i="10"/>
  <c r="G13" i="10"/>
  <c r="L12" i="10"/>
  <c r="G12" i="10"/>
  <c r="L11" i="10"/>
  <c r="G11" i="10"/>
  <c r="L10" i="10"/>
  <c r="G10" i="10"/>
  <c r="L9" i="10"/>
  <c r="G9" i="10"/>
  <c r="G12" i="9" l="1"/>
  <c r="G11" i="9"/>
  <c r="G10" i="9"/>
  <c r="G9" i="9"/>
  <c r="O14" i="8" l="1"/>
  <c r="P14" i="8" s="1"/>
  <c r="O13" i="8"/>
  <c r="P13" i="8" s="1"/>
  <c r="O12" i="8"/>
  <c r="P12" i="8" s="1"/>
  <c r="O11" i="8"/>
  <c r="P11" i="8" s="1"/>
  <c r="G11" i="8"/>
  <c r="O10" i="8"/>
  <c r="G10" i="8" s="1"/>
  <c r="P9" i="8"/>
  <c r="O9" i="8"/>
  <c r="G9" i="8"/>
  <c r="P10" i="8" l="1"/>
  <c r="G12" i="8"/>
  <c r="I13" i="7" l="1"/>
  <c r="I12" i="7"/>
  <c r="I11" i="7"/>
  <c r="G11" i="7"/>
  <c r="I10" i="7"/>
  <c r="G10" i="7"/>
  <c r="I9" i="7"/>
  <c r="G9" i="7"/>
  <c r="G9" i="6" l="1"/>
  <c r="J9" i="6"/>
  <c r="G10" i="6"/>
  <c r="J10" i="6"/>
  <c r="G11" i="6"/>
  <c r="J11" i="6"/>
  <c r="J12" i="6"/>
  <c r="J11" i="5" l="1"/>
  <c r="J10" i="5"/>
  <c r="G10" i="5"/>
  <c r="J9" i="5"/>
  <c r="G9" i="5"/>
  <c r="O11" i="3" l="1"/>
  <c r="G11" i="3" s="1"/>
  <c r="L43" i="4"/>
  <c r="L42" i="4"/>
  <c r="L40" i="4"/>
  <c r="G40" i="4"/>
  <c r="L38" i="4"/>
  <c r="G38" i="4"/>
  <c r="L39" i="4"/>
  <c r="G39" i="4"/>
  <c r="L41" i="4"/>
  <c r="G41" i="4"/>
  <c r="L32" i="4"/>
  <c r="G32" i="4"/>
  <c r="L30" i="4"/>
  <c r="G30" i="4"/>
  <c r="L33" i="4"/>
  <c r="L29" i="4"/>
  <c r="G29" i="4"/>
  <c r="L31" i="4"/>
  <c r="G31" i="4"/>
  <c r="L34" i="4"/>
  <c r="L20" i="4"/>
  <c r="G20" i="4"/>
  <c r="L23" i="4"/>
  <c r="L21" i="4"/>
  <c r="G21" i="4"/>
  <c r="L22" i="4"/>
  <c r="L24" i="4"/>
  <c r="L19" i="4"/>
  <c r="G19" i="4"/>
  <c r="L9" i="4"/>
  <c r="G9" i="4"/>
  <c r="L10" i="4"/>
  <c r="G10" i="4"/>
  <c r="L12" i="4"/>
  <c r="L11" i="4"/>
  <c r="G11" i="4"/>
  <c r="L13" i="4"/>
  <c r="L14" i="4"/>
  <c r="O9" i="3"/>
  <c r="P9" i="3" s="1"/>
  <c r="O10" i="3"/>
  <c r="P10" i="3" s="1"/>
  <c r="O12" i="3"/>
  <c r="P12" i="3" s="1"/>
  <c r="O13" i="3"/>
  <c r="G13" i="3" s="1"/>
  <c r="O14" i="3"/>
  <c r="P14" i="3" s="1"/>
  <c r="P13" i="3" l="1"/>
  <c r="G12" i="3"/>
  <c r="G9" i="3"/>
  <c r="G14" i="3"/>
  <c r="P11" i="3"/>
  <c r="G10" i="3"/>
  <c r="O15" i="2" l="1"/>
  <c r="P15" i="2" s="1"/>
  <c r="O14" i="2"/>
  <c r="P14" i="2" s="1"/>
  <c r="O13" i="2"/>
  <c r="P13" i="2" s="1"/>
  <c r="O10" i="2"/>
  <c r="G10" i="2" s="1"/>
  <c r="O12" i="2"/>
  <c r="P12" i="2" s="1"/>
  <c r="O9" i="2"/>
  <c r="G9" i="2" s="1"/>
  <c r="P10" i="2" l="1"/>
  <c r="G13" i="2"/>
  <c r="P9" i="2"/>
  <c r="G12" i="2"/>
  <c r="J9" i="1" l="1"/>
  <c r="G9" i="1"/>
  <c r="J11" i="1"/>
  <c r="J10" i="1"/>
  <c r="G10" i="1"/>
</calcChain>
</file>

<file path=xl/sharedStrings.xml><?xml version="1.0" encoding="utf-8"?>
<sst xmlns="http://schemas.openxmlformats.org/spreadsheetml/2006/main" count="3428" uniqueCount="749">
  <si>
    <t>LIETUVOS UNIVERSITETŲ STUDENTŲ LENGVOSIOS ATLETIKOS ŽIEMOS ČEMPIONATAS</t>
  </si>
  <si>
    <t>Kaunas,</t>
  </si>
  <si>
    <t>3000 m sportinis ėjimas moterims</t>
  </si>
  <si>
    <t>2019-02-02</t>
  </si>
  <si>
    <t>Nr.</t>
  </si>
  <si>
    <t>Vardas</t>
  </si>
  <si>
    <t>Pavardė</t>
  </si>
  <si>
    <t>Gim.data</t>
  </si>
  <si>
    <t>Komanda</t>
  </si>
  <si>
    <t>Taškai</t>
  </si>
  <si>
    <t>Rezultatas</t>
  </si>
  <si>
    <t>Įspėjimai</t>
  </si>
  <si>
    <t>Kv. l.</t>
  </si>
  <si>
    <t>Treneris</t>
  </si>
  <si>
    <t>Ieva</t>
  </si>
  <si>
    <t xml:space="preserve">Šukevičiūtė </t>
  </si>
  <si>
    <t>1996-09-27</t>
  </si>
  <si>
    <t>LSU-1</t>
  </si>
  <si>
    <t xml:space="preserve">V.Kazlauskas </t>
  </si>
  <si>
    <t>Aušrinė</t>
  </si>
  <si>
    <t>Kuzmickaitė</t>
  </si>
  <si>
    <t>1998-12-05</t>
  </si>
  <si>
    <t>Kaunas</t>
  </si>
  <si>
    <t>b.k.</t>
  </si>
  <si>
    <t>V.Kazlauskas</t>
  </si>
  <si>
    <t xml:space="preserve">Greta </t>
  </si>
  <si>
    <t>Vainaitė</t>
  </si>
  <si>
    <t>1996-06-01</t>
  </si>
  <si>
    <t>V.Kazlauskas D.Tamulevicius</t>
  </si>
  <si>
    <t>Vieta</t>
  </si>
  <si>
    <t>DNS</t>
  </si>
  <si>
    <t>Šuolis į tolį moterims</t>
  </si>
  <si>
    <t>Bandymai</t>
  </si>
  <si>
    <t>Eilė</t>
  </si>
  <si>
    <t>Rez.</t>
  </si>
  <si>
    <t>Kv.l.</t>
  </si>
  <si>
    <t>Augustė</t>
  </si>
  <si>
    <t>Regalaitė</t>
  </si>
  <si>
    <t>1998-03-24</t>
  </si>
  <si>
    <t>X</t>
  </si>
  <si>
    <t>J.Čižauskas, J.Beržinskienė</t>
  </si>
  <si>
    <t>Viltė</t>
  </si>
  <si>
    <t>Narbutaitytė</t>
  </si>
  <si>
    <t>1999-10-03</t>
  </si>
  <si>
    <t>KU</t>
  </si>
  <si>
    <t>L. Milikauskaitė</t>
  </si>
  <si>
    <t>Simona</t>
  </si>
  <si>
    <t>Grybaitė</t>
  </si>
  <si>
    <t>1998-02-10</t>
  </si>
  <si>
    <t>KTU</t>
  </si>
  <si>
    <t>A.I. Gricevičiai</t>
  </si>
  <si>
    <t>Sofija</t>
  </si>
  <si>
    <t>Korf</t>
  </si>
  <si>
    <t>1994-08-05</t>
  </si>
  <si>
    <t>VU</t>
  </si>
  <si>
    <t>K.Šapka</t>
  </si>
  <si>
    <t>Žaneta Kristina</t>
  </si>
  <si>
    <t>Levkovič</t>
  </si>
  <si>
    <t>1998-09-21</t>
  </si>
  <si>
    <t>VDA</t>
  </si>
  <si>
    <t>K. Šapka</t>
  </si>
  <si>
    <t>Vaida</t>
  </si>
  <si>
    <t>Padimanskaitė</t>
  </si>
  <si>
    <t>2000-08-07</t>
  </si>
  <si>
    <t xml:space="preserve">Panevėžys </t>
  </si>
  <si>
    <t>R.Jakubauskas</t>
  </si>
  <si>
    <t>Austė</t>
  </si>
  <si>
    <t>Macijauskaitė</t>
  </si>
  <si>
    <t>2000-08-18</t>
  </si>
  <si>
    <t xml:space="preserve"> M.Vadeikis</t>
  </si>
  <si>
    <t>S. Oželis</t>
  </si>
  <si>
    <t>1995-02-24</t>
  </si>
  <si>
    <t>Noreikaitė</t>
  </si>
  <si>
    <t>Monika</t>
  </si>
  <si>
    <t>A.Kazlauskas</t>
  </si>
  <si>
    <t>VDU</t>
  </si>
  <si>
    <t>1998-11-09</t>
  </si>
  <si>
    <t>Tamošauskaitė</t>
  </si>
  <si>
    <t>Gerda</t>
  </si>
  <si>
    <t>J. Armonienė</t>
  </si>
  <si>
    <t>1999-06-06</t>
  </si>
  <si>
    <t xml:space="preserve">Surgelaitė </t>
  </si>
  <si>
    <t xml:space="preserve">Lina </t>
  </si>
  <si>
    <t>I.Jakubaitytė</t>
  </si>
  <si>
    <t>2000-02-21</t>
  </si>
  <si>
    <t>Paulikaitė</t>
  </si>
  <si>
    <t xml:space="preserve">Miglė </t>
  </si>
  <si>
    <t>V., L.Maleckiai</t>
  </si>
  <si>
    <t>LSMU</t>
  </si>
  <si>
    <t>1997-01-27</t>
  </si>
  <si>
    <t>Turskytė</t>
  </si>
  <si>
    <t>Kamilė</t>
  </si>
  <si>
    <t>V., L. Maleckiai, V. Zarankienė</t>
  </si>
  <si>
    <t>1999-04-08</t>
  </si>
  <si>
    <t>Šyvytė</t>
  </si>
  <si>
    <t>Marija</t>
  </si>
  <si>
    <t>Rutulio stūmimas moterims</t>
  </si>
  <si>
    <t>60 m bėgimas moterims</t>
  </si>
  <si>
    <t>bėgimas iš 4</t>
  </si>
  <si>
    <t>Takas</t>
  </si>
  <si>
    <t>Rez.p.b.</t>
  </si>
  <si>
    <t>R.l.</t>
  </si>
  <si>
    <t>Finalas</t>
  </si>
  <si>
    <t>SB</t>
  </si>
  <si>
    <t>Bėg.</t>
  </si>
  <si>
    <t>Aistė</t>
  </si>
  <si>
    <t>1996-10-30</t>
  </si>
  <si>
    <t>M. Reinikovas</t>
  </si>
  <si>
    <t>-</t>
  </si>
  <si>
    <t>Vesta</t>
  </si>
  <si>
    <t>Ručenko</t>
  </si>
  <si>
    <t>2003-05-23</t>
  </si>
  <si>
    <t>Panevėžys-Tauragė</t>
  </si>
  <si>
    <t>8,22</t>
  </si>
  <si>
    <t xml:space="preserve"> Kornelija </t>
  </si>
  <si>
    <t>Okunevič</t>
  </si>
  <si>
    <t>1999-09-08</t>
  </si>
  <si>
    <t>R.Snarskienė</t>
  </si>
  <si>
    <t>7,81</t>
  </si>
  <si>
    <t>Ubeikaitė</t>
  </si>
  <si>
    <t>2000-05-21</t>
  </si>
  <si>
    <t xml:space="preserve">Panevėžys-Utena </t>
  </si>
  <si>
    <t>R.Jakubauskas, M.Saliamonas</t>
  </si>
  <si>
    <t>7,89</t>
  </si>
  <si>
    <t>Silvija</t>
  </si>
  <si>
    <t>Baubonytė</t>
  </si>
  <si>
    <t>1996-11-09</t>
  </si>
  <si>
    <t>J.Čižauskas</t>
  </si>
  <si>
    <t>8,14</t>
  </si>
  <si>
    <t> Sandra</t>
  </si>
  <si>
    <t>Alejūnaitė</t>
  </si>
  <si>
    <t>1999-08-05</t>
  </si>
  <si>
    <t>A.Tolstiks</t>
  </si>
  <si>
    <t>Kotryna</t>
  </si>
  <si>
    <t>Pauliūtė </t>
  </si>
  <si>
    <t>1997-02-19</t>
  </si>
  <si>
    <t>Sobolevska</t>
  </si>
  <si>
    <t>2002-04-11</t>
  </si>
  <si>
    <t>Vilnius</t>
  </si>
  <si>
    <t>J.Strumskytė-Razgūnė, E.Abušovas</t>
  </si>
  <si>
    <t>8,38</t>
  </si>
  <si>
    <t>Gabrielė</t>
  </si>
  <si>
    <t>Kaminskaitė</t>
  </si>
  <si>
    <t>2000-05-11</t>
  </si>
  <si>
    <t>Panevėžys-Kėdainiai</t>
  </si>
  <si>
    <t>R.Jakubauskas, R.Sakalauskienė</t>
  </si>
  <si>
    <t>7,75</t>
  </si>
  <si>
    <t>Karolina</t>
  </si>
  <si>
    <t>Deliautaitė</t>
  </si>
  <si>
    <t>1995-08-09</t>
  </si>
  <si>
    <t>7,53</t>
  </si>
  <si>
    <t>8,07</t>
  </si>
  <si>
    <t xml:space="preserve"> Ugnė </t>
  </si>
  <si>
    <t>Sauliūnaitė</t>
  </si>
  <si>
    <t xml:space="preserve">1999-04-17 </t>
  </si>
  <si>
    <t>J. Armonienė,
T.Krasauskienė</t>
  </si>
  <si>
    <t>8,73</t>
  </si>
  <si>
    <t xml:space="preserve">Atėnė </t>
  </si>
  <si>
    <t>Šliževičiūtė</t>
  </si>
  <si>
    <t>2003-05-22</t>
  </si>
  <si>
    <t>I. Jakubaityte</t>
  </si>
  <si>
    <t xml:space="preserve"> Kotryna </t>
  </si>
  <si>
    <t>Kairytė</t>
  </si>
  <si>
    <t>1998-09-30</t>
  </si>
  <si>
    <t>8,67</t>
  </si>
  <si>
    <t>Ugnė</t>
  </si>
  <si>
    <t>Jankauskaitė</t>
  </si>
  <si>
    <t>1995-03-15</t>
  </si>
  <si>
    <t>G.Šerėniene</t>
  </si>
  <si>
    <t>7,77</t>
  </si>
  <si>
    <t>Akvilė</t>
  </si>
  <si>
    <t>Andriukaitytė</t>
  </si>
  <si>
    <t>2000-03-09</t>
  </si>
  <si>
    <t>Panevėžys-Šakiai</t>
  </si>
  <si>
    <t>R.Jakubauskas, A.Ulinskas</t>
  </si>
  <si>
    <t>7,49</t>
  </si>
  <si>
    <t>Asta</t>
  </si>
  <si>
    <t>Strumbylaitė</t>
  </si>
  <si>
    <t>1999-09-14</t>
  </si>
  <si>
    <t>M. Vadeikis,  A. Dobregienė</t>
  </si>
  <si>
    <t>8,01</t>
  </si>
  <si>
    <t>Rugilė</t>
  </si>
  <si>
    <t>Tolvaišaitė</t>
  </si>
  <si>
    <t>1999-03-27</t>
  </si>
  <si>
    <t>LSU-2</t>
  </si>
  <si>
    <t>8,81</t>
  </si>
  <si>
    <t>Valatkaitytė</t>
  </si>
  <si>
    <t>1999-04-01</t>
  </si>
  <si>
    <t>O.Pavilionienė, N.Gedgaudienė</t>
  </si>
  <si>
    <t>8,72</t>
  </si>
  <si>
    <t>Unskinaitė</t>
  </si>
  <si>
    <t>1998-01-02</t>
  </si>
  <si>
    <t>J.Čižauskas,D.D.Senkai</t>
  </si>
  <si>
    <t>7,93</t>
  </si>
  <si>
    <t>Staurylaitė</t>
  </si>
  <si>
    <t>1997-01-08</t>
  </si>
  <si>
    <t>7,96</t>
  </si>
  <si>
    <t>Roberta</t>
  </si>
  <si>
    <t>Žikaitė</t>
  </si>
  <si>
    <t>2001-06-02</t>
  </si>
  <si>
    <t>Raseiniai</t>
  </si>
  <si>
    <t>M.Skamarakas</t>
  </si>
  <si>
    <t>Karina</t>
  </si>
  <si>
    <t>Jancevičiūtė</t>
  </si>
  <si>
    <t>2002-07-20</t>
  </si>
  <si>
    <t>Švenčionių r.</t>
  </si>
  <si>
    <t>Z.Zenkevičius</t>
  </si>
  <si>
    <t>b.k</t>
  </si>
  <si>
    <t>60 m barjerinis bėgimas moterims</t>
  </si>
  <si>
    <t xml:space="preserve">Rasa </t>
  </si>
  <si>
    <t>Mažeikaitė</t>
  </si>
  <si>
    <t>1997-06-17</t>
  </si>
  <si>
    <t>ŠU</t>
  </si>
  <si>
    <t>J. Baikštienė</t>
  </si>
  <si>
    <t>8,89</t>
  </si>
  <si>
    <t>Erika</t>
  </si>
  <si>
    <t>Krūminaitė</t>
  </si>
  <si>
    <t>1998-04-24</t>
  </si>
  <si>
    <t>V. Baronienė</t>
  </si>
  <si>
    <t>9,38</t>
  </si>
  <si>
    <t>8,50</t>
  </si>
  <si>
    <t>1999-05-28</t>
  </si>
  <si>
    <t>Benkunskas</t>
  </si>
  <si>
    <t>Edgaras</t>
  </si>
  <si>
    <t>A. Izergin</t>
  </si>
  <si>
    <t>1993-02-14</t>
  </si>
  <si>
    <t>Misius</t>
  </si>
  <si>
    <t>Alvydas</t>
  </si>
  <si>
    <t>8,30</t>
  </si>
  <si>
    <t>A.Gavėnas, A.Dobregienė</t>
  </si>
  <si>
    <t>1998-07-13</t>
  </si>
  <si>
    <t>Bžėskis</t>
  </si>
  <si>
    <t>Gabrielius</t>
  </si>
  <si>
    <t>7,99</t>
  </si>
  <si>
    <t>N.Gedgaudienė, D.Senkus</t>
  </si>
  <si>
    <t>1995-09-30</t>
  </si>
  <si>
    <t>Vrašinskaas</t>
  </si>
  <si>
    <t>Martynas</t>
  </si>
  <si>
    <t>60 m barjerinis bėgimas vyrams</t>
  </si>
  <si>
    <t>3000 m bėgimas vyrams</t>
  </si>
  <si>
    <t xml:space="preserve">Robert </t>
  </si>
  <si>
    <t>Antanovič</t>
  </si>
  <si>
    <t>1998-05-01</t>
  </si>
  <si>
    <t>VGTU</t>
  </si>
  <si>
    <t>P.Žukienė V.Kozlov</t>
  </si>
  <si>
    <t>Tomas</t>
  </si>
  <si>
    <t>Bizimavičius</t>
  </si>
  <si>
    <t>1992-11-08</t>
  </si>
  <si>
    <t>R.Kančys</t>
  </si>
  <si>
    <t>Vilius</t>
  </si>
  <si>
    <t>Puidokas</t>
  </si>
  <si>
    <t>1997-12-28</t>
  </si>
  <si>
    <t>Aivaras</t>
  </si>
  <si>
    <t>Čekanavičius</t>
  </si>
  <si>
    <t>1992-09-17</t>
  </si>
  <si>
    <t>Švenčionių r. Jonava</t>
  </si>
  <si>
    <t>Z. Zenkevičius</t>
  </si>
  <si>
    <t>Rimvydas</t>
  </si>
  <si>
    <t>Alminas</t>
  </si>
  <si>
    <t>1994-11-10</t>
  </si>
  <si>
    <t>Šuolis į tolį vyrams</t>
  </si>
  <si>
    <t>Artūras</t>
  </si>
  <si>
    <t>Raklevičius</t>
  </si>
  <si>
    <t>1999-05-31</t>
  </si>
  <si>
    <t>A. Tolstik</t>
  </si>
  <si>
    <t>Laurynas</t>
  </si>
  <si>
    <t>Vičas</t>
  </si>
  <si>
    <t>1997-06-15</t>
  </si>
  <si>
    <t>Lukas</t>
  </si>
  <si>
    <t>Krikštanavičius</t>
  </si>
  <si>
    <t>1998-11-27</t>
  </si>
  <si>
    <t xml:space="preserve">Tomas </t>
  </si>
  <si>
    <t>Lotužis</t>
  </si>
  <si>
    <t>1992-12-30</t>
  </si>
  <si>
    <t>Vilnius,Skuodas</t>
  </si>
  <si>
    <t>K.Šapka, A.Donėla</t>
  </si>
  <si>
    <t>Vytautas</t>
  </si>
  <si>
    <t>Savickas</t>
  </si>
  <si>
    <t>1997-10-11</t>
  </si>
  <si>
    <t>NM</t>
  </si>
  <si>
    <t xml:space="preserve">Benas </t>
  </si>
  <si>
    <t>Bileišis</t>
  </si>
  <si>
    <t>1998-04-20</t>
  </si>
  <si>
    <t>J. Tribienė</t>
  </si>
  <si>
    <t>Šuolis su kartimi moterims</t>
  </si>
  <si>
    <t>B a n d y m a i</t>
  </si>
  <si>
    <t>Rezultas</t>
  </si>
  <si>
    <t>Vitalija</t>
  </si>
  <si>
    <t>Dejeva</t>
  </si>
  <si>
    <t>1991-10-13</t>
  </si>
  <si>
    <t>X0</t>
  </si>
  <si>
    <t>XXX</t>
  </si>
  <si>
    <t>R. Vasiliauskas</t>
  </si>
  <si>
    <t>Jasaitė</t>
  </si>
  <si>
    <t>199-04-06</t>
  </si>
  <si>
    <t>Liubinaitė</t>
  </si>
  <si>
    <t>1996-11-17</t>
  </si>
  <si>
    <t>XX0</t>
  </si>
  <si>
    <t>R.Sadzevičienė, D.Jankauskaitė</t>
  </si>
  <si>
    <t>Dambrauskaitė</t>
  </si>
  <si>
    <t>1998-04-03</t>
  </si>
  <si>
    <t>Vaiva</t>
  </si>
  <si>
    <t>Ramanauskaitė</t>
  </si>
  <si>
    <t>2000-04-13</t>
  </si>
  <si>
    <t>I. Jakubaityte, R. Sadzevčienė</t>
  </si>
  <si>
    <t>60 m bėgimas vyrams</t>
  </si>
  <si>
    <t>F</t>
  </si>
  <si>
    <t>Ramūnas</t>
  </si>
  <si>
    <t>Kleinauskas</t>
  </si>
  <si>
    <t>1996-03-06</t>
  </si>
  <si>
    <t>R.Petruškevičius</t>
  </si>
  <si>
    <t>6,95</t>
  </si>
  <si>
    <t>Mantas</t>
  </si>
  <si>
    <t>Šeštokas</t>
  </si>
  <si>
    <t>1996-04-18</t>
  </si>
  <si>
    <t>D. Skirmantienė</t>
  </si>
  <si>
    <t>7,04</t>
  </si>
  <si>
    <t>Irmantas</t>
  </si>
  <si>
    <t>Birbalas</t>
  </si>
  <si>
    <t>1996-05-16</t>
  </si>
  <si>
    <t>V.Šilinskas</t>
  </si>
  <si>
    <t>7,07</t>
  </si>
  <si>
    <t>Mikas</t>
  </si>
  <si>
    <t>Beinorius</t>
  </si>
  <si>
    <t>1994-05-19</t>
  </si>
  <si>
    <t>7,19</t>
  </si>
  <si>
    <t xml:space="preserve">Nikas </t>
  </si>
  <si>
    <t xml:space="preserve">Katkevičius </t>
  </si>
  <si>
    <t>1999-11-12</t>
  </si>
  <si>
    <t>J.Razgūnė</t>
  </si>
  <si>
    <t>7,33</t>
  </si>
  <si>
    <t>5v</t>
  </si>
  <si>
    <t>7,17</t>
  </si>
  <si>
    <t>Paulius</t>
  </si>
  <si>
    <t>Kazlauskas</t>
  </si>
  <si>
    <t>1994-09-07</t>
  </si>
  <si>
    <t>7,26</t>
  </si>
  <si>
    <t>Rokas</t>
  </si>
  <si>
    <t>Silkinis</t>
  </si>
  <si>
    <t>1995-06-23</t>
  </si>
  <si>
    <t>J. Čižauskas</t>
  </si>
  <si>
    <t xml:space="preserve"> Marius </t>
  </si>
  <si>
    <t>Gaižauskas</t>
  </si>
  <si>
    <t>1998-07-15</t>
  </si>
  <si>
    <t>J.Armonienė</t>
  </si>
  <si>
    <t>Ernestas</t>
  </si>
  <si>
    <t>Šostakas</t>
  </si>
  <si>
    <t>1997-12-17</t>
  </si>
  <si>
    <t>7,59</t>
  </si>
  <si>
    <t xml:space="preserve">Ričardas </t>
  </si>
  <si>
    <t>Gudonavičius</t>
  </si>
  <si>
    <t>1998-04-13</t>
  </si>
  <si>
    <t>E.Karaškienė, N.Daugelienė</t>
  </si>
  <si>
    <t>7,62</t>
  </si>
  <si>
    <t xml:space="preserve">Martynas </t>
  </si>
  <si>
    <t>Kamimskas</t>
  </si>
  <si>
    <t>1998-03-26</t>
  </si>
  <si>
    <t>7,73</t>
  </si>
  <si>
    <t>Dovydas</t>
  </si>
  <si>
    <t>Vaitkevičius</t>
  </si>
  <si>
    <t>1998-05-19</t>
  </si>
  <si>
    <t>Giedrius</t>
  </si>
  <si>
    <t>Rupeika</t>
  </si>
  <si>
    <t>1992-09-10</t>
  </si>
  <si>
    <t>M. Skrabulis</t>
  </si>
  <si>
    <t>6,99</t>
  </si>
  <si>
    <t>Aurimas</t>
  </si>
  <si>
    <t>Gražulis</t>
  </si>
  <si>
    <t>2000-06-28</t>
  </si>
  <si>
    <t>A.Gricevičius, I.Gricevičienė</t>
  </si>
  <si>
    <t>7,28</t>
  </si>
  <si>
    <t>Šermukšnis</t>
  </si>
  <si>
    <t>2001-12-05</t>
  </si>
  <si>
    <t>O.Pavilionienė N.Gedgaudienė</t>
  </si>
  <si>
    <t>7,30</t>
  </si>
  <si>
    <t xml:space="preserve">Edvinas </t>
  </si>
  <si>
    <t>Morozovas</t>
  </si>
  <si>
    <t>2000-01-13</t>
  </si>
  <si>
    <t>7,44</t>
  </si>
  <si>
    <t>Mančinskas</t>
  </si>
  <si>
    <t>2001-06-27</t>
  </si>
  <si>
    <t>Justinas</t>
  </si>
  <si>
    <t>Maliuševskis</t>
  </si>
  <si>
    <t>2000-06-30</t>
  </si>
  <si>
    <t>G.Michniova</t>
  </si>
  <si>
    <t>7,36</t>
  </si>
  <si>
    <t>Ailandas</t>
  </si>
  <si>
    <t>Barauskas</t>
  </si>
  <si>
    <t>2001-11-14</t>
  </si>
  <si>
    <t>E. Dilys</t>
  </si>
  <si>
    <t>7,54</t>
  </si>
  <si>
    <t>Dominykas</t>
  </si>
  <si>
    <t>Brudnius</t>
  </si>
  <si>
    <t>2001-05-21</t>
  </si>
  <si>
    <t>Kristupas</t>
  </si>
  <si>
    <t>Urbanavičius</t>
  </si>
  <si>
    <t>2001-05-29</t>
  </si>
  <si>
    <t>7,82</t>
  </si>
  <si>
    <t xml:space="preserve"> Nojus </t>
  </si>
  <si>
    <t>Budavičius</t>
  </si>
  <si>
    <t>1999-05-14</t>
  </si>
  <si>
    <t xml:space="preserve"> Karolis </t>
  </si>
  <si>
    <t>Čipkus</t>
  </si>
  <si>
    <t>D.Skirmantienė</t>
  </si>
  <si>
    <t>7,23</t>
  </si>
  <si>
    <t>Tomaš</t>
  </si>
  <si>
    <t>Paškovski</t>
  </si>
  <si>
    <t>2000-03-12</t>
  </si>
  <si>
    <t>J.Strumskytė-Razgūnė, I.Jefimova</t>
  </si>
  <si>
    <t>7,45</t>
  </si>
  <si>
    <t>Treinys</t>
  </si>
  <si>
    <t>1996-11-19</t>
  </si>
  <si>
    <t>7,12</t>
  </si>
  <si>
    <t>Einius</t>
  </si>
  <si>
    <t>Trumpa</t>
  </si>
  <si>
    <t>1998-06-23</t>
  </si>
  <si>
    <t>A. Gavėnas, V. Čereška</t>
  </si>
  <si>
    <t>Rutulio stūmimas vyrams</t>
  </si>
  <si>
    <t>Karolis</t>
  </si>
  <si>
    <t>Maisuradze</t>
  </si>
  <si>
    <t>1997-06-20</t>
  </si>
  <si>
    <t>I. Jakubaityte, A. Miliauskas</t>
  </si>
  <si>
    <t>Mindaugas</t>
  </si>
  <si>
    <t>Jurkša</t>
  </si>
  <si>
    <t>1992-10-14</t>
  </si>
  <si>
    <t>Murašovas</t>
  </si>
  <si>
    <t>1992-08-13</t>
  </si>
  <si>
    <t>V.R. Murašovai</t>
  </si>
  <si>
    <t>Augustinas</t>
  </si>
  <si>
    <t>Giedraitis</t>
  </si>
  <si>
    <t>1999-03-22</t>
  </si>
  <si>
    <t>A.Miliauskas, E.Žilys</t>
  </si>
  <si>
    <t>Andrius</t>
  </si>
  <si>
    <t>Skuja</t>
  </si>
  <si>
    <t>1992-08-09</t>
  </si>
  <si>
    <t>D. Jusys</t>
  </si>
  <si>
    <t xml:space="preserve"> Tomas </t>
  </si>
  <si>
    <t>Forgeron</t>
  </si>
  <si>
    <t>2000-03-10</t>
  </si>
  <si>
    <r>
      <t xml:space="preserve">Rutulio stūmimas vyrams </t>
    </r>
    <r>
      <rPr>
        <b/>
        <sz val="11"/>
        <rFont val="Times New Roman"/>
        <family val="1"/>
        <charset val="186"/>
      </rPr>
      <t>(įrankio svoris 5 kg)</t>
    </r>
  </si>
  <si>
    <t>Domanaitis</t>
  </si>
  <si>
    <t>2003-12-05</t>
  </si>
  <si>
    <t>V.,L.Maleckai, V.Kidykas</t>
  </si>
  <si>
    <t>V.L. Maleckiai, V.Murašovas</t>
  </si>
  <si>
    <t>bėgimas iš 5</t>
  </si>
  <si>
    <t>Suvestinė</t>
  </si>
  <si>
    <t>59,61</t>
  </si>
  <si>
    <t>1:00,19</t>
  </si>
  <si>
    <t>59,83</t>
  </si>
  <si>
    <t>P. Žukienė</t>
  </si>
  <si>
    <t>Ivickyte</t>
  </si>
  <si>
    <t>Viktorija</t>
  </si>
  <si>
    <t>59,80</t>
  </si>
  <si>
    <t>1998-06-14</t>
  </si>
  <si>
    <t>Gargasaitė</t>
  </si>
  <si>
    <t>PB</t>
  </si>
  <si>
    <t>bėgimas iš 2</t>
  </si>
  <si>
    <t>2001-11-25</t>
  </si>
  <si>
    <t>Petrauskaitė</t>
  </si>
  <si>
    <t>H.Eismontas</t>
  </si>
  <si>
    <t>1996-09-25</t>
  </si>
  <si>
    <t>Želvytė</t>
  </si>
  <si>
    <t>I. Juodeškienė</t>
  </si>
  <si>
    <t>1997-08-16</t>
  </si>
  <si>
    <t>Brusokaitė</t>
  </si>
  <si>
    <t>Beatričė</t>
  </si>
  <si>
    <t>400 m bėgimas moterims</t>
  </si>
  <si>
    <t>F4</t>
  </si>
  <si>
    <t>F3</t>
  </si>
  <si>
    <t>F5</t>
  </si>
  <si>
    <t>F2</t>
  </si>
  <si>
    <t>4v</t>
  </si>
  <si>
    <t>F1</t>
  </si>
  <si>
    <t>F6</t>
  </si>
  <si>
    <t>LIETUVOS UNIVERSITETŲ STUDENTŲ</t>
  </si>
  <si>
    <t>LENGVOSIOS ATLETIKOS</t>
  </si>
  <si>
    <t>ŽIEMOS ČEMPIONATAS</t>
  </si>
  <si>
    <t>2019 m. vasario 2 d.</t>
  </si>
  <si>
    <t xml:space="preserve">Kaunas, </t>
  </si>
  <si>
    <t>LSU Alekso Stanislovaičio lengvosios atletikos maniežas</t>
  </si>
  <si>
    <t>Algirdas BARANAUSKAS</t>
  </si>
  <si>
    <t>Varžybų vyriausiasis sekretorius</t>
  </si>
  <si>
    <t>Alfonsas BULIUOLIS</t>
  </si>
  <si>
    <t>Varžybų vyriauiasis teisėjas</t>
  </si>
  <si>
    <t>400 m bėgimas vyrams</t>
  </si>
  <si>
    <t>Tadas</t>
  </si>
  <si>
    <t>Petravičius</t>
  </si>
  <si>
    <t>1999-05-30</t>
  </si>
  <si>
    <t>N.Sabaliauskienė</t>
  </si>
  <si>
    <t> Rokas</t>
  </si>
  <si>
    <t>Tamulevičius</t>
  </si>
  <si>
    <t>1999-02-28</t>
  </si>
  <si>
    <t xml:space="preserve"> Dominykas </t>
  </si>
  <si>
    <t>Kaminskas</t>
  </si>
  <si>
    <t>1998-06-29</t>
  </si>
  <si>
    <t>J. Armonienė, 
E. Žiupkienė</t>
  </si>
  <si>
    <t>Kalanta</t>
  </si>
  <si>
    <t>1999-02-04</t>
  </si>
  <si>
    <t>56,75</t>
  </si>
  <si>
    <t>57,98</t>
  </si>
  <si>
    <t>Evaldas</t>
  </si>
  <si>
    <t>Ščefonavičius</t>
  </si>
  <si>
    <t>1997-11-17</t>
  </si>
  <si>
    <t>D. Šaučikovas</t>
  </si>
  <si>
    <t>1:00,22</t>
  </si>
  <si>
    <t>Guščius</t>
  </si>
  <si>
    <t>1998-04-19</t>
  </si>
  <si>
    <t>M.Saldukaitis, A.Buliuolis</t>
  </si>
  <si>
    <t>57,55</t>
  </si>
  <si>
    <t>Olegas</t>
  </si>
  <si>
    <t>Ivanikovas</t>
  </si>
  <si>
    <t>1999-11-17</t>
  </si>
  <si>
    <t>52,59</t>
  </si>
  <si>
    <t>Eimantas</t>
  </si>
  <si>
    <t>Tamašauskas</t>
  </si>
  <si>
    <t>2000-04-29</t>
  </si>
  <si>
    <t>55,85</t>
  </si>
  <si>
    <t>Luneckas</t>
  </si>
  <si>
    <t>1997-07-11</t>
  </si>
  <si>
    <t>52,80</t>
  </si>
  <si>
    <t>Astrauskas</t>
  </si>
  <si>
    <t>52,46</t>
  </si>
  <si>
    <t>Janauskas</t>
  </si>
  <si>
    <t>1987-07-25</t>
  </si>
  <si>
    <t>L.Grinčikaitė-Samuolė</t>
  </si>
  <si>
    <t>50,72</t>
  </si>
  <si>
    <t>Jokūbas</t>
  </si>
  <si>
    <t>Tubutis</t>
  </si>
  <si>
    <t>1999-02-16</t>
  </si>
  <si>
    <t>G.Šerienėnė</t>
  </si>
  <si>
    <t>51,27</t>
  </si>
  <si>
    <t>Almantas</t>
  </si>
  <si>
    <t>Dapkevičius</t>
  </si>
  <si>
    <t>1996-09-11</t>
  </si>
  <si>
    <t>52,41</t>
  </si>
  <si>
    <t>55,73</t>
  </si>
  <si>
    <t>Daniel</t>
  </si>
  <si>
    <t>Golovacki</t>
  </si>
  <si>
    <t>1996-02-12</t>
  </si>
  <si>
    <t>MRU</t>
  </si>
  <si>
    <t>N.Sabaliauskienė,G.Michniova,D.Jankauskaitė</t>
  </si>
  <si>
    <t>50,58</t>
  </si>
  <si>
    <t>Dariuš</t>
  </si>
  <si>
    <t>Križanovskij</t>
  </si>
  <si>
    <t>1998-06-12</t>
  </si>
  <si>
    <t>P. Žukienė, V. Kozlov</t>
  </si>
  <si>
    <t>50,30</t>
  </si>
  <si>
    <t xml:space="preserve">Justinas </t>
  </si>
  <si>
    <t>Viskupaitis</t>
  </si>
  <si>
    <t>1997-06-25</t>
  </si>
  <si>
    <t>E.Karaškienė</t>
  </si>
  <si>
    <t>55,13</t>
  </si>
  <si>
    <t>b,k.</t>
  </si>
  <si>
    <t>Deimantas</t>
  </si>
  <si>
    <t>Špučys</t>
  </si>
  <si>
    <t>1991-04-19</t>
  </si>
  <si>
    <t>Klaipėda</t>
  </si>
  <si>
    <t>D.Senkus</t>
  </si>
  <si>
    <t>50,60</t>
  </si>
  <si>
    <t>800 m bėgimas vyrams</t>
  </si>
  <si>
    <t>Danilovas</t>
  </si>
  <si>
    <t>1999-06-17</t>
  </si>
  <si>
    <t>Žukauskas</t>
  </si>
  <si>
    <t>2000-12-14</t>
  </si>
  <si>
    <t>2:10,79</t>
  </si>
  <si>
    <t>Ramojus</t>
  </si>
  <si>
    <t>Balevičius</t>
  </si>
  <si>
    <t>1999-11-04</t>
  </si>
  <si>
    <t>L. Juchnevičienė</t>
  </si>
  <si>
    <t xml:space="preserve">Linas </t>
  </si>
  <si>
    <t>Šinkūnas</t>
  </si>
  <si>
    <t>2000-02-17</t>
  </si>
  <si>
    <t>2:08,41</t>
  </si>
  <si>
    <t>Gytis</t>
  </si>
  <si>
    <t>Andreikėnas</t>
  </si>
  <si>
    <t>2002-09-24</t>
  </si>
  <si>
    <t>2:14,27</t>
  </si>
  <si>
    <t>Dilys</t>
  </si>
  <si>
    <t>1995-12-17</t>
  </si>
  <si>
    <t>V. Kozlov</t>
  </si>
  <si>
    <t>Jakubaitis</t>
  </si>
  <si>
    <t>2000-09-10</t>
  </si>
  <si>
    <t>Šiauliai</t>
  </si>
  <si>
    <t xml:space="preserve"> Mindaugas </t>
  </si>
  <si>
    <t>Striokas</t>
  </si>
  <si>
    <t>1991-01-26</t>
  </si>
  <si>
    <t>J. Garalevičius</t>
  </si>
  <si>
    <t>Algimantas</t>
  </si>
  <si>
    <t>Žemaitaitis</t>
  </si>
  <si>
    <t>1998-01-13</t>
  </si>
  <si>
    <t>V. Kozlov, P. Žukienė</t>
  </si>
  <si>
    <t>1:59,79</t>
  </si>
  <si>
    <t>Grigalaitis</t>
  </si>
  <si>
    <t>1999-09-03</t>
  </si>
  <si>
    <t>2:00,72</t>
  </si>
  <si>
    <t>Miliūnas</t>
  </si>
  <si>
    <t>1996-07-17</t>
  </si>
  <si>
    <t>A.Miliauskas</t>
  </si>
  <si>
    <t>2:02,76</t>
  </si>
  <si>
    <t>Linas</t>
  </si>
  <si>
    <t>Šarkauskas</t>
  </si>
  <si>
    <t>1996-01-21</t>
  </si>
  <si>
    <t>V.Stirbys, E.Karaškienė</t>
  </si>
  <si>
    <t>2:05,20</t>
  </si>
  <si>
    <t xml:space="preserve"> Gediminas </t>
  </si>
  <si>
    <t>Janušis</t>
  </si>
  <si>
    <t>1991-06-27</t>
  </si>
  <si>
    <t>Valauskas</t>
  </si>
  <si>
    <t>1997-07-04</t>
  </si>
  <si>
    <t>2:00,27</t>
  </si>
  <si>
    <t>2:22,18</t>
  </si>
  <si>
    <t>2:31,87</t>
  </si>
  <si>
    <t>V.Kozlov</t>
  </si>
  <si>
    <t>1996-07-06</t>
  </si>
  <si>
    <t>Jovaišaitė</t>
  </si>
  <si>
    <t>1996-11-22</t>
  </si>
  <si>
    <t>Butkytė</t>
  </si>
  <si>
    <t>Renata</t>
  </si>
  <si>
    <t>2:27,42</t>
  </si>
  <si>
    <t>2:26,20</t>
  </si>
  <si>
    <t>1994-12-19</t>
  </si>
  <si>
    <t>Vijeikytė</t>
  </si>
  <si>
    <t>Rimantė</t>
  </si>
  <si>
    <t>800 m bėgimas moterims</t>
  </si>
  <si>
    <t>Šuolis į aukštį moterims</t>
  </si>
  <si>
    <t>Miglė</t>
  </si>
  <si>
    <t>Gretė</t>
  </si>
  <si>
    <t>Lukošaitytė</t>
  </si>
  <si>
    <t>1998-03-03</t>
  </si>
  <si>
    <t>LKA-ind.</t>
  </si>
  <si>
    <t>ind.</t>
  </si>
  <si>
    <t>A. Izergin, D. Maceikienė</t>
  </si>
  <si>
    <t>Čiapienė</t>
  </si>
  <si>
    <t>1992-02-19</t>
  </si>
  <si>
    <t>J. Beržinskienė</t>
  </si>
  <si>
    <t>Guoda</t>
  </si>
  <si>
    <t>Marmaitė</t>
  </si>
  <si>
    <t>1995-10-02</t>
  </si>
  <si>
    <t>Trišuolis moterims</t>
  </si>
  <si>
    <t>Dargytė</t>
  </si>
  <si>
    <t>1997-07-28</t>
  </si>
  <si>
    <t>A.Gavelytė,A.Baranauskas</t>
  </si>
  <si>
    <t xml:space="preserve"> Diana </t>
  </si>
  <si>
    <t>Zagainova</t>
  </si>
  <si>
    <t>26,42</t>
  </si>
  <si>
    <t>26,08</t>
  </si>
  <si>
    <t>27,60</t>
  </si>
  <si>
    <t>27,26</t>
  </si>
  <si>
    <t>I. Jakubaityte, G. Šerėnienė</t>
  </si>
  <si>
    <t>2002-01-30</t>
  </si>
  <si>
    <t xml:space="preserve">Markevičiūtė </t>
  </si>
  <si>
    <t xml:space="preserve">Augustė </t>
  </si>
  <si>
    <t>30,44</t>
  </si>
  <si>
    <t>28,54</t>
  </si>
  <si>
    <t>29,74</t>
  </si>
  <si>
    <t>G.Šerėnienė</t>
  </si>
  <si>
    <t>1998-06-15</t>
  </si>
  <si>
    <t>Stabingytė</t>
  </si>
  <si>
    <t>Ramunė</t>
  </si>
  <si>
    <t>200 m bėgimas moterims</t>
  </si>
  <si>
    <t>1500 m bėgimas moterims</t>
  </si>
  <si>
    <t xml:space="preserve">Aurika </t>
  </si>
  <si>
    <t>Balsytė</t>
  </si>
  <si>
    <t>1994-09-17</t>
  </si>
  <si>
    <t>J. Beržanskis, M. Norbutas</t>
  </si>
  <si>
    <t>Dovilė</t>
  </si>
  <si>
    <t>Nakvosaitė</t>
  </si>
  <si>
    <t>1992-03-26</t>
  </si>
  <si>
    <t>I. Brasevičius</t>
  </si>
  <si>
    <t>Vilmantė</t>
  </si>
  <si>
    <t>Gruodytė</t>
  </si>
  <si>
    <t>1998-02-14</t>
  </si>
  <si>
    <t>Evelina</t>
  </si>
  <si>
    <t>Miltenė</t>
  </si>
  <si>
    <t>1989-09-30</t>
  </si>
  <si>
    <t>Vaidžiulytė</t>
  </si>
  <si>
    <t>1998-04-17</t>
  </si>
  <si>
    <t>4:51,88</t>
  </si>
  <si>
    <t>Jovita</t>
  </si>
  <si>
    <t>Poškutė</t>
  </si>
  <si>
    <t>1990-12-08</t>
  </si>
  <si>
    <t>5:11,67</t>
  </si>
  <si>
    <t>4:08,84</t>
  </si>
  <si>
    <t>Z.Zenkevičius A.Klebauskas</t>
  </si>
  <si>
    <t>Švenčionių r. Alytus</t>
  </si>
  <si>
    <t>1994-06-30</t>
  </si>
  <si>
    <t>Tarasevičius</t>
  </si>
  <si>
    <t>A.Buliuolis</t>
  </si>
  <si>
    <t>1998-09-20</t>
  </si>
  <si>
    <t>Krapikas</t>
  </si>
  <si>
    <t>Povilas</t>
  </si>
  <si>
    <t>Petras</t>
  </si>
  <si>
    <t>4:16,14</t>
  </si>
  <si>
    <t>4:17,26</t>
  </si>
  <si>
    <t>G.Trubila</t>
  </si>
  <si>
    <t>1991-01-23</t>
  </si>
  <si>
    <t>Stašys</t>
  </si>
  <si>
    <t xml:space="preserve">Dovydas </t>
  </si>
  <si>
    <t>4:09,26</t>
  </si>
  <si>
    <t>Krivickas</t>
  </si>
  <si>
    <t>1500 m bėgimas vyrams</t>
  </si>
  <si>
    <t>DNF</t>
  </si>
  <si>
    <t>24,25</t>
  </si>
  <si>
    <t>23,63</t>
  </si>
  <si>
    <t>E. Žiupkienė</t>
  </si>
  <si>
    <t>Bolotin</t>
  </si>
  <si>
    <t>Maksim</t>
  </si>
  <si>
    <t>23,50</t>
  </si>
  <si>
    <t>G.Šerėnienė,  I.Jefimova</t>
  </si>
  <si>
    <t>1995-12-19</t>
  </si>
  <si>
    <t>Bukovskis</t>
  </si>
  <si>
    <t>Valentinas</t>
  </si>
  <si>
    <t>200 m bėgimas vyrams</t>
  </si>
  <si>
    <t>Šuolis į aukštį vyrams</t>
  </si>
  <si>
    <t>Dainius</t>
  </si>
  <si>
    <t>Pazdrazdis</t>
  </si>
  <si>
    <t>1997-12-26</t>
  </si>
  <si>
    <t>A.Gavelytė, A.Barnauskas, L.Milikauskaitė</t>
  </si>
  <si>
    <t>Augustas</t>
  </si>
  <si>
    <t>Bukauskas</t>
  </si>
  <si>
    <t>2001-11-09</t>
  </si>
  <si>
    <t>A.Gavelytė</t>
  </si>
  <si>
    <t>Aleksas</t>
  </si>
  <si>
    <t>Vilkas</t>
  </si>
  <si>
    <t>1999-02-06</t>
  </si>
  <si>
    <t>A. Gavelytė, A. Baranauskas</t>
  </si>
  <si>
    <t>Matas</t>
  </si>
  <si>
    <t>Butkus</t>
  </si>
  <si>
    <t>1998-10-28</t>
  </si>
  <si>
    <t>A.Gavelytė, A.Barnauskas, V.Šilinskas</t>
  </si>
  <si>
    <t>Algirdas</t>
  </si>
  <si>
    <t>Asauskas</t>
  </si>
  <si>
    <t>1998-09-12</t>
  </si>
  <si>
    <t>4x200 m bėgimas moterims</t>
  </si>
  <si>
    <t>1999-04-06</t>
  </si>
  <si>
    <t>Trišuolis vyrams</t>
  </si>
  <si>
    <t>Svarauskas</t>
  </si>
  <si>
    <t>1994-06-06</t>
  </si>
  <si>
    <t>Petrosevičius</t>
  </si>
  <si>
    <t>1997-01-28</t>
  </si>
  <si>
    <t>A.Gavelytė, A.Baranauskas</t>
  </si>
  <si>
    <t>Ričardas</t>
  </si>
  <si>
    <t>Gedminas</t>
  </si>
  <si>
    <t>1999-03-20</t>
  </si>
  <si>
    <t>4x200 m bėgimas vyrams</t>
  </si>
  <si>
    <t xml:space="preserve">Paulius </t>
  </si>
  <si>
    <t>KOMANDINIAI REZULTATAI:</t>
  </si>
  <si>
    <t>Komandos</t>
  </si>
  <si>
    <t>Taškai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</si>
</sst>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3" formatCode="_(* #,##0.00_);_(* \(#,##0.00\);_(* &quot;-&quot;??_);_(@_)"/>
    <numFmt numFmtId="164" formatCode="_-* #,##0.00\ _€_-;\-* #,##0.00\ _€_-;_-* &quot;-&quot;??\ _€_-;_-@_-"/>
    <numFmt numFmtId="165" formatCode="m:ss.00"/>
    <numFmt numFmtId="166" formatCode="0.000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_-* #,##0.00\ &quot;Lt&quot;_-;\-* #,##0.00\ &quot;Lt&quot;_-;_-* &quot;-&quot;??\ &quot;Lt&quot;_-;_-@_-"/>
    <numFmt numFmtId="174" formatCode="_-* #,##0_-;\-* #,##0_-;_-* &quot;-&quot;_-;_-@_-"/>
    <numFmt numFmtId="175" formatCode="_-* #,##0.00_-;\-* #,##0.00_-;_-* &quot;-&quot;??_-;_-@_-"/>
    <numFmt numFmtId="176" formatCode="[Red]0%;[Red]\(0%\)"/>
    <numFmt numFmtId="177" formatCode="yyyy\-mm\-dd;@"/>
    <numFmt numFmtId="178" formatCode="[$-FC27]yyyy\ &quot;m.&quot;\ mmmm\ d\ &quot;d.&quot;;@"/>
    <numFmt numFmtId="179" formatCode="[m]:ss.00"/>
    <numFmt numFmtId="180" formatCode="hh:mm;@"/>
    <numFmt numFmtId="181" formatCode="0.0"/>
    <numFmt numFmtId="182" formatCode="0%;\(0%\)"/>
    <numFmt numFmtId="183" formatCode="\ \ @"/>
    <numFmt numFmtId="184" formatCode="\ \ \ \ @"/>
    <numFmt numFmtId="185" formatCode="_-&quot;IRL&quot;* #,##0_-;\-&quot;IRL&quot;* #,##0_-;_-&quot;IRL&quot;* &quot;-&quot;_-;_-@_-"/>
    <numFmt numFmtId="186" formatCode="_-&quot;IRL&quot;* #,##0.00_-;\-&quot;IRL&quot;* #,##0.00_-;_-&quot;IRL&quot;* &quot;-&quot;??_-;_-@_-"/>
    <numFmt numFmtId="187" formatCode="[$-427]General"/>
    <numFmt numFmtId="188" formatCode="#,##0.00&quot; &quot;[$Lt-427];[Red]&quot;-&quot;#,##0.00&quot; &quot;[$Lt-427]"/>
    <numFmt numFmtId="189" formatCode="yyyy/mm/dd;@"/>
    <numFmt numFmtId="190" formatCode="ss.00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i/>
      <sz val="8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indexed="9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6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7"/>
      <name val="Times New Roman"/>
      <family val="1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8"/>
      <color indexed="12"/>
      <name val="Times New Roman"/>
      <family val="1"/>
      <charset val="186"/>
    </font>
    <font>
      <sz val="11"/>
      <color indexed="62"/>
      <name val="Calibri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color indexed="63"/>
      <name val="Calibri"/>
      <family val="2"/>
      <charset val="186"/>
    </font>
    <font>
      <sz val="10"/>
      <color indexed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 Cyr"/>
      <charset val="204"/>
    </font>
    <font>
      <sz val="6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indexed="9"/>
      <name val="Times New Roman"/>
      <family val="1"/>
    </font>
    <font>
      <sz val="10"/>
      <color theme="1"/>
      <name val="Arial1"/>
      <charset val="186"/>
    </font>
    <font>
      <sz val="10"/>
      <color indexed="8"/>
      <name val="Arial"/>
      <family val="2"/>
      <charset val="186"/>
    </font>
    <font>
      <sz val="10"/>
      <color indexed="8"/>
      <name val="Times New Roman"/>
      <family val="2"/>
    </font>
    <font>
      <sz val="10"/>
      <color theme="1"/>
      <name val="Times New Roman"/>
      <family val="2"/>
      <charset val="186"/>
    </font>
    <font>
      <sz val="10"/>
      <name val="Arial"/>
      <family val="2"/>
      <charset val="204"/>
    </font>
    <font>
      <sz val="10"/>
      <name val="TimesLT"/>
    </font>
    <font>
      <b/>
      <sz val="15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204"/>
    </font>
    <font>
      <sz val="10"/>
      <color theme="0"/>
      <name val="Times New Roman"/>
      <family val="1"/>
    </font>
    <font>
      <sz val="11"/>
      <color indexed="9"/>
      <name val="Times New Roman"/>
      <family val="1"/>
    </font>
    <font>
      <sz val="11"/>
      <color theme="1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570">
    <xf numFmtId="0" fontId="0" fillId="0" borderId="0"/>
    <xf numFmtId="0" fontId="3" fillId="0" borderId="0"/>
    <xf numFmtId="0" fontId="3" fillId="0" borderId="0"/>
    <xf numFmtId="0" fontId="21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167" fontId="30" fillId="0" borderId="0" applyFill="0" applyBorder="0" applyAlignment="0"/>
    <xf numFmtId="168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0" fillId="0" borderId="0" applyFill="0" applyBorder="0" applyAlignment="0"/>
    <xf numFmtId="0" fontId="31" fillId="20" borderId="15" applyNumberFormat="0" applyAlignment="0" applyProtection="0"/>
    <xf numFmtId="0" fontId="32" fillId="21" borderId="16" applyNumberFormat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3" fontId="3" fillId="0" borderId="0" applyFont="0" applyFill="0" applyBorder="0" applyAlignment="0" applyProtection="0"/>
    <xf numFmtId="14" fontId="30" fillId="0" borderId="0" applyFill="0" applyBorder="0" applyAlignment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7" fontId="33" fillId="0" borderId="0" applyFill="0" applyBorder="0" applyAlignment="0"/>
    <xf numFmtId="168" fontId="33" fillId="0" borderId="0" applyFill="0" applyBorder="0" applyAlignment="0"/>
    <xf numFmtId="167" fontId="33" fillId="0" borderId="0" applyFill="0" applyBorder="0" applyAlignment="0"/>
    <xf numFmtId="172" fontId="33" fillId="0" borderId="0" applyFill="0" applyBorder="0" applyAlignment="0"/>
    <xf numFmtId="168" fontId="33" fillId="0" borderId="0" applyFill="0" applyBorder="0" applyAlignment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38" fontId="36" fillId="22" borderId="0" applyNumberFormat="0" applyBorder="0" applyAlignment="0" applyProtection="0"/>
    <xf numFmtId="0" fontId="37" fillId="0" borderId="17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0" fontId="36" fillId="23" borderId="1" applyNumberFormat="0" applyBorder="0" applyAlignment="0" applyProtection="0"/>
    <xf numFmtId="0" fontId="42" fillId="7" borderId="15" applyNumberFormat="0" applyAlignment="0" applyProtection="0"/>
    <xf numFmtId="0" fontId="3" fillId="0" borderId="0"/>
    <xf numFmtId="0" fontId="3" fillId="0" borderId="0"/>
    <xf numFmtId="0" fontId="21" fillId="0" borderId="0"/>
    <xf numFmtId="0" fontId="21" fillId="0" borderId="0"/>
    <xf numFmtId="167" fontId="43" fillId="0" borderId="0" applyFill="0" applyBorder="0" applyAlignment="0"/>
    <xf numFmtId="168" fontId="43" fillId="0" borderId="0" applyFill="0" applyBorder="0" applyAlignment="0"/>
    <xf numFmtId="167" fontId="43" fillId="0" borderId="0" applyFill="0" applyBorder="0" applyAlignment="0"/>
    <xf numFmtId="172" fontId="43" fillId="0" borderId="0" applyFill="0" applyBorder="0" applyAlignment="0"/>
    <xf numFmtId="168" fontId="43" fillId="0" borderId="0" applyFill="0" applyBorder="0" applyAlignment="0"/>
    <xf numFmtId="0" fontId="44" fillId="0" borderId="21" applyNumberFormat="0" applyFill="0" applyAlignment="0" applyProtection="0"/>
    <xf numFmtId="0" fontId="45" fillId="24" borderId="0" applyNumberFormat="0" applyBorder="0" applyAlignment="0" applyProtection="0"/>
    <xf numFmtId="176" fontId="46" fillId="0" borderId="0"/>
    <xf numFmtId="177" fontId="27" fillId="0" borderId="0"/>
    <xf numFmtId="0" fontId="3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3" fillId="0" borderId="0"/>
    <xf numFmtId="177" fontId="27" fillId="0" borderId="0"/>
    <xf numFmtId="177" fontId="27" fillId="0" borderId="0"/>
    <xf numFmtId="0" fontId="3" fillId="0" borderId="0"/>
    <xf numFmtId="0" fontId="3" fillId="0" borderId="0"/>
    <xf numFmtId="177" fontId="27" fillId="0" borderId="0"/>
    <xf numFmtId="177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177" fontId="27" fillId="0" borderId="0"/>
    <xf numFmtId="0" fontId="21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0" fontId="21" fillId="0" borderId="0"/>
    <xf numFmtId="177" fontId="27" fillId="0" borderId="0"/>
    <xf numFmtId="0" fontId="21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3" fillId="0" borderId="0"/>
    <xf numFmtId="177" fontId="27" fillId="0" borderId="0"/>
    <xf numFmtId="0" fontId="3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3" fillId="0" borderId="0"/>
    <xf numFmtId="0" fontId="3" fillId="0" borderId="0"/>
    <xf numFmtId="0" fontId="3" fillId="0" borderId="0"/>
    <xf numFmtId="177" fontId="27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7" fontId="3" fillId="0" borderId="0"/>
    <xf numFmtId="178" fontId="3" fillId="0" borderId="0"/>
    <xf numFmtId="177" fontId="27" fillId="0" borderId="0"/>
    <xf numFmtId="177" fontId="3" fillId="0" borderId="0"/>
    <xf numFmtId="177" fontId="3" fillId="0" borderId="0"/>
    <xf numFmtId="177" fontId="3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3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8" fontId="27" fillId="0" borderId="0"/>
    <xf numFmtId="178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8" fontId="27" fillId="0" borderId="0"/>
    <xf numFmtId="178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8" fontId="27" fillId="0" borderId="0"/>
    <xf numFmtId="178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6" fontId="27" fillId="0" borderId="0"/>
    <xf numFmtId="179" fontId="27" fillId="0" borderId="0"/>
    <xf numFmtId="179" fontId="27" fillId="0" borderId="0"/>
    <xf numFmtId="176" fontId="27" fillId="0" borderId="0"/>
    <xf numFmtId="176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80" fontId="27" fillId="0" borderId="0"/>
    <xf numFmtId="178" fontId="27" fillId="0" borderId="0"/>
    <xf numFmtId="178" fontId="27" fillId="0" borderId="0"/>
    <xf numFmtId="178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8" fontId="27" fillId="0" borderId="0"/>
    <xf numFmtId="178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8" fontId="27" fillId="0" borderId="0"/>
    <xf numFmtId="177" fontId="27" fillId="0" borderId="0"/>
    <xf numFmtId="0" fontId="3" fillId="0" borderId="0"/>
    <xf numFmtId="0" fontId="3" fillId="0" borderId="0"/>
    <xf numFmtId="165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8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177" fontId="3" fillId="0" borderId="0"/>
    <xf numFmtId="177" fontId="3" fillId="0" borderId="0"/>
    <xf numFmtId="21" fontId="3" fillId="0" borderId="0"/>
    <xf numFmtId="177" fontId="3" fillId="0" borderId="0"/>
    <xf numFmtId="177" fontId="3" fillId="0" borderId="0"/>
    <xf numFmtId="177" fontId="3" fillId="0" borderId="0"/>
    <xf numFmtId="21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21" fillId="0" borderId="0"/>
    <xf numFmtId="0" fontId="21" fillId="0" borderId="0"/>
    <xf numFmtId="0" fontId="2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181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21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0" fontId="21" fillId="0" borderId="0"/>
    <xf numFmtId="177" fontId="27" fillId="0" borderId="0"/>
    <xf numFmtId="0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77" fontId="27" fillId="0" borderId="0"/>
    <xf numFmtId="0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7" fillId="0" borderId="0"/>
    <xf numFmtId="0" fontId="27" fillId="0" borderId="0"/>
    <xf numFmtId="177" fontId="27" fillId="0" borderId="0"/>
    <xf numFmtId="177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7" fontId="27" fillId="0" borderId="0"/>
    <xf numFmtId="177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3" fillId="25" borderId="22" applyNumberFormat="0" applyFont="0" applyAlignment="0" applyProtection="0"/>
    <xf numFmtId="0" fontId="49" fillId="20" borderId="23" applyNumberFormat="0" applyAlignment="0" applyProtection="0"/>
    <xf numFmtId="0" fontId="3" fillId="0" borderId="0"/>
    <xf numFmtId="17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0" fontId="3" fillId="0" borderId="0" applyFont="0" applyFill="0" applyBorder="0" applyAlignment="0" applyProtection="0"/>
    <xf numFmtId="167" fontId="50" fillId="0" borderId="0" applyFill="0" applyBorder="0" applyAlignment="0"/>
    <xf numFmtId="168" fontId="50" fillId="0" borderId="0" applyFill="0" applyBorder="0" applyAlignment="0"/>
    <xf numFmtId="167" fontId="50" fillId="0" borderId="0" applyFill="0" applyBorder="0" applyAlignment="0"/>
    <xf numFmtId="172" fontId="50" fillId="0" borderId="0" applyFill="0" applyBorder="0" applyAlignment="0"/>
    <xf numFmtId="168" fontId="50" fillId="0" borderId="0" applyFill="0" applyBorder="0" applyAlignment="0"/>
    <xf numFmtId="49" fontId="30" fillId="0" borderId="0" applyFill="0" applyBorder="0" applyAlignment="0"/>
    <xf numFmtId="183" fontId="30" fillId="0" borderId="0" applyFill="0" applyBorder="0" applyAlignment="0"/>
    <xf numFmtId="184" fontId="30" fillId="0" borderId="0" applyFill="0" applyBorder="0" applyAlignment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173" fontId="21" fillId="0" borderId="0" applyFont="0" applyFill="0" applyBorder="0" applyAlignment="0" applyProtection="0"/>
    <xf numFmtId="187" fontId="65" fillId="0" borderId="0"/>
    <xf numFmtId="0" fontId="3" fillId="0" borderId="0"/>
    <xf numFmtId="0" fontId="3" fillId="0" borderId="0"/>
    <xf numFmtId="188" fontId="66" fillId="0" borderId="0" applyNumberFormat="0" applyBorder="0" applyProtection="0"/>
    <xf numFmtId="0" fontId="47" fillId="0" borderId="0"/>
    <xf numFmtId="0" fontId="21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21" fontId="47" fillId="0" borderId="0"/>
    <xf numFmtId="21" fontId="47" fillId="0" borderId="0"/>
    <xf numFmtId="21" fontId="47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177" fontId="47" fillId="0" borderId="0"/>
    <xf numFmtId="177" fontId="47" fillId="0" borderId="0"/>
    <xf numFmtId="177" fontId="47" fillId="0" borderId="0"/>
    <xf numFmtId="21" fontId="47" fillId="0" borderId="0"/>
    <xf numFmtId="21" fontId="47" fillId="0" borderId="0"/>
    <xf numFmtId="21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0" fontId="3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7" fillId="0" borderId="0"/>
    <xf numFmtId="0" fontId="68" fillId="0" borderId="0"/>
    <xf numFmtId="177" fontId="47" fillId="0" borderId="0"/>
    <xf numFmtId="177" fontId="47" fillId="0" borderId="0"/>
    <xf numFmtId="177" fontId="47" fillId="0" borderId="0"/>
    <xf numFmtId="0" fontId="21" fillId="0" borderId="0"/>
    <xf numFmtId="0" fontId="3" fillId="0" borderId="0"/>
    <xf numFmtId="0" fontId="3" fillId="0" borderId="0"/>
    <xf numFmtId="177" fontId="47" fillId="0" borderId="0"/>
    <xf numFmtId="177" fontId="47" fillId="0" borderId="0"/>
    <xf numFmtId="0" fontId="3" fillId="0" borderId="0"/>
    <xf numFmtId="177" fontId="47" fillId="0" borderId="0"/>
    <xf numFmtId="0" fontId="47" fillId="0" borderId="0"/>
    <xf numFmtId="0" fontId="47" fillId="0" borderId="0"/>
    <xf numFmtId="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7" fontId="47" fillId="0" borderId="0"/>
    <xf numFmtId="177" fontId="47" fillId="0" borderId="0"/>
    <xf numFmtId="177" fontId="47" fillId="0" borderId="0"/>
    <xf numFmtId="178" fontId="47" fillId="0" borderId="0"/>
    <xf numFmtId="178" fontId="47" fillId="0" borderId="0"/>
    <xf numFmtId="178" fontId="47" fillId="0" borderId="0"/>
    <xf numFmtId="177" fontId="47" fillId="0" borderId="0"/>
    <xf numFmtId="177" fontId="47" fillId="0" borderId="0"/>
    <xf numFmtId="177" fontId="47" fillId="0" borderId="0"/>
    <xf numFmtId="178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8" fontId="47" fillId="0" borderId="0"/>
    <xf numFmtId="178" fontId="47" fillId="0" borderId="0"/>
    <xf numFmtId="178" fontId="47" fillId="0" borderId="0"/>
    <xf numFmtId="177" fontId="47" fillId="0" borderId="0"/>
    <xf numFmtId="177" fontId="47" fillId="0" borderId="0"/>
    <xf numFmtId="17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179" fontId="47" fillId="0" borderId="0"/>
    <xf numFmtId="180" fontId="47" fillId="0" borderId="0"/>
    <xf numFmtId="180" fontId="47" fillId="0" borderId="0"/>
    <xf numFmtId="180" fontId="47" fillId="0" borderId="0"/>
    <xf numFmtId="180" fontId="47" fillId="0" borderId="0"/>
    <xf numFmtId="180" fontId="47" fillId="0" borderId="0"/>
    <xf numFmtId="180" fontId="47" fillId="0" borderId="0"/>
    <xf numFmtId="178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8" fontId="47" fillId="0" borderId="0"/>
    <xf numFmtId="178" fontId="47" fillId="0" borderId="0"/>
    <xf numFmtId="178" fontId="47" fillId="0" borderId="0"/>
    <xf numFmtId="177" fontId="47" fillId="0" borderId="0"/>
    <xf numFmtId="177" fontId="47" fillId="0" borderId="0"/>
    <xf numFmtId="177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17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30" fillId="0" borderId="0"/>
    <xf numFmtId="0" fontId="27" fillId="0" borderId="0"/>
    <xf numFmtId="0" fontId="2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7" fillId="0" borderId="0"/>
    <xf numFmtId="0" fontId="7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181" fontId="47" fillId="0" borderId="0"/>
    <xf numFmtId="181" fontId="47" fillId="0" borderId="0"/>
    <xf numFmtId="181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21" fontId="47" fillId="0" borderId="0"/>
    <xf numFmtId="21" fontId="47" fillId="0" borderId="0"/>
    <xf numFmtId="21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1" fillId="0" borderId="0"/>
    <xf numFmtId="189" fontId="2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0" fontId="3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21" fillId="0" borderId="0"/>
    <xf numFmtId="0" fontId="3" fillId="0" borderId="0"/>
    <xf numFmtId="0" fontId="1" fillId="0" borderId="0"/>
    <xf numFmtId="0" fontId="21" fillId="0" borderId="0"/>
  </cellStyleXfs>
  <cellXfs count="508">
    <xf numFmtId="0" fontId="0" fillId="0" borderId="0" xfId="0"/>
    <xf numFmtId="0" fontId="4" fillId="0" borderId="0" xfId="1" applyFont="1" applyFill="1"/>
    <xf numFmtId="0" fontId="5" fillId="0" borderId="0" xfId="1" applyFont="1" applyFill="1"/>
    <xf numFmtId="49" fontId="5" fillId="0" borderId="0" xfId="1" applyNumberFormat="1" applyFont="1" applyFill="1"/>
    <xf numFmtId="0" fontId="5" fillId="0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0" fontId="3" fillId="0" borderId="0" xfId="1" applyFont="1" applyFill="1"/>
    <xf numFmtId="0" fontId="7" fillId="0" borderId="0" xfId="1" applyFont="1" applyFill="1" applyAlignment="1">
      <alignment horizontal="right"/>
    </xf>
    <xf numFmtId="0" fontId="8" fillId="0" borderId="0" xfId="1" applyFont="1" applyFill="1"/>
    <xf numFmtId="0" fontId="9" fillId="0" borderId="0" xfId="1" applyFont="1" applyFill="1"/>
    <xf numFmtId="49" fontId="10" fillId="0" borderId="0" xfId="2" applyNumberFormat="1" applyFont="1" applyFill="1" applyBorder="1" applyAlignment="1">
      <alignment horizontal="center"/>
    </xf>
    <xf numFmtId="0" fontId="11" fillId="0" borderId="0" xfId="1" applyNumberFormat="1" applyFont="1" applyFill="1"/>
    <xf numFmtId="1" fontId="12" fillId="0" borderId="0" xfId="1" applyNumberFormat="1" applyFont="1" applyFill="1"/>
    <xf numFmtId="165" fontId="11" fillId="0" borderId="0" xfId="1" applyNumberFormat="1" applyFont="1" applyFill="1"/>
    <xf numFmtId="2" fontId="8" fillId="0" borderId="0" xfId="1" applyNumberFormat="1" applyFont="1" applyFill="1"/>
    <xf numFmtId="49" fontId="8" fillId="0" borderId="0" xfId="1" applyNumberFormat="1" applyFont="1" applyFill="1" applyAlignment="1">
      <alignment horizontal="center"/>
    </xf>
    <xf numFmtId="0" fontId="13" fillId="0" borderId="0" xfId="1" applyFont="1" applyFill="1"/>
    <xf numFmtId="0" fontId="14" fillId="0" borderId="0" xfId="1" applyFont="1" applyFill="1"/>
    <xf numFmtId="0" fontId="15" fillId="0" borderId="0" xfId="1" applyFont="1" applyFill="1"/>
    <xf numFmtId="49" fontId="16" fillId="0" borderId="0" xfId="1" applyNumberFormat="1" applyFont="1" applyFill="1"/>
    <xf numFmtId="0" fontId="16" fillId="0" borderId="0" xfId="1" applyNumberFormat="1" applyFont="1" applyFill="1"/>
    <xf numFmtId="1" fontId="14" fillId="0" borderId="0" xfId="1" applyNumberFormat="1" applyFont="1" applyFill="1"/>
    <xf numFmtId="165" fontId="8" fillId="0" borderId="0" xfId="1" applyNumberFormat="1" applyFont="1" applyFill="1"/>
    <xf numFmtId="49" fontId="14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49" fontId="11" fillId="0" borderId="0" xfId="1" applyNumberFormat="1" applyFont="1" applyFill="1"/>
    <xf numFmtId="0" fontId="17" fillId="0" borderId="0" xfId="1" applyFont="1" applyFill="1"/>
    <xf numFmtId="49" fontId="17" fillId="0" borderId="0" xfId="1" applyNumberFormat="1" applyFont="1" applyFill="1"/>
    <xf numFmtId="0" fontId="17" fillId="0" borderId="0" xfId="1" applyNumberFormat="1" applyFont="1" applyFill="1" applyAlignment="1">
      <alignment horizontal="left"/>
    </xf>
    <xf numFmtId="49" fontId="12" fillId="0" borderId="0" xfId="1" applyNumberFormat="1" applyFont="1" applyFill="1"/>
    <xf numFmtId="0" fontId="12" fillId="0" borderId="0" xfId="1" applyNumberFormat="1" applyFont="1" applyFill="1"/>
    <xf numFmtId="165" fontId="12" fillId="0" borderId="0" xfId="1" applyNumberFormat="1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/>
    </xf>
    <xf numFmtId="49" fontId="16" fillId="0" borderId="1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left" vertical="center"/>
    </xf>
    <xf numFmtId="49" fontId="18" fillId="0" borderId="8" xfId="1" applyNumberFormat="1" applyFont="1" applyFill="1" applyBorder="1" applyAlignment="1">
      <alignment horizontal="center" vertical="center"/>
    </xf>
    <xf numFmtId="0" fontId="19" fillId="0" borderId="8" xfId="1" applyNumberFormat="1" applyFont="1" applyFill="1" applyBorder="1" applyAlignment="1">
      <alignment horizontal="left" vertical="center"/>
    </xf>
    <xf numFmtId="1" fontId="8" fillId="0" borderId="5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18" fillId="0" borderId="0" xfId="1" applyNumberFormat="1" applyFont="1" applyFill="1"/>
    <xf numFmtId="0" fontId="18" fillId="0" borderId="0" xfId="1" applyNumberFormat="1" applyFont="1" applyFill="1"/>
    <xf numFmtId="0" fontId="4" fillId="0" borderId="0" xfId="1" applyFont="1" applyFill="1" applyAlignment="1">
      <alignment horizontal="center"/>
    </xf>
    <xf numFmtId="0" fontId="20" fillId="0" borderId="0" xfId="1" applyFont="1" applyFill="1" applyAlignment="1">
      <alignment horizontal="left"/>
    </xf>
    <xf numFmtId="49" fontId="6" fillId="0" borderId="0" xfId="1" applyNumberFormat="1" applyFont="1" applyFill="1"/>
    <xf numFmtId="0" fontId="6" fillId="0" borderId="0" xfId="1" applyNumberFormat="1" applyFont="1" applyFill="1"/>
    <xf numFmtId="1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/>
    <xf numFmtId="49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/>
    <xf numFmtId="1" fontId="8" fillId="0" borderId="0" xfId="1" applyNumberFormat="1" applyFont="1" applyFill="1"/>
    <xf numFmtId="2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2" fontId="6" fillId="0" borderId="0" xfId="1" applyNumberFormat="1" applyFont="1" applyFill="1"/>
    <xf numFmtId="0" fontId="8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0" fontId="6" fillId="0" borderId="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left" vertical="center"/>
    </xf>
    <xf numFmtId="49" fontId="6" fillId="0" borderId="10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left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left" vertical="center"/>
    </xf>
    <xf numFmtId="1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3" applyFont="1" applyFill="1"/>
    <xf numFmtId="0" fontId="22" fillId="0" borderId="0" xfId="3" applyFont="1" applyFill="1" applyAlignment="1">
      <alignment horizontal="center"/>
    </xf>
    <xf numFmtId="0" fontId="6" fillId="0" borderId="0" xfId="3" applyFont="1" applyFill="1"/>
    <xf numFmtId="2" fontId="6" fillId="0" borderId="0" xfId="3" applyNumberFormat="1" applyFont="1" applyFill="1"/>
    <xf numFmtId="2" fontId="8" fillId="0" borderId="0" xfId="3" applyNumberFormat="1" applyFont="1" applyFill="1" applyAlignment="1">
      <alignment horizontal="center"/>
    </xf>
    <xf numFmtId="0" fontId="8" fillId="0" borderId="0" xfId="3" applyFont="1" applyFill="1" applyAlignment="1">
      <alignment horizontal="center"/>
    </xf>
    <xf numFmtId="1" fontId="8" fillId="0" borderId="0" xfId="3" applyNumberFormat="1" applyFont="1" applyFill="1"/>
    <xf numFmtId="0" fontId="8" fillId="0" borderId="0" xfId="3" applyNumberFormat="1" applyFont="1" applyFill="1"/>
    <xf numFmtId="49" fontId="8" fillId="0" borderId="0" xfId="3" applyNumberFormat="1" applyFont="1" applyFill="1" applyAlignment="1">
      <alignment horizontal="center"/>
    </xf>
    <xf numFmtId="0" fontId="8" fillId="0" borderId="0" xfId="3" applyFont="1" applyFill="1" applyAlignment="1">
      <alignment vertical="center"/>
    </xf>
    <xf numFmtId="0" fontId="22" fillId="0" borderId="0" xfId="3" applyFont="1" applyFill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2" fontId="8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1" fontId="12" fillId="0" borderId="1" xfId="3" applyNumberFormat="1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left" vertical="center"/>
    </xf>
    <xf numFmtId="49" fontId="23" fillId="0" borderId="3" xfId="3" applyNumberFormat="1" applyFont="1" applyFill="1" applyBorder="1" applyAlignment="1">
      <alignment horizontal="left" vertical="center"/>
    </xf>
    <xf numFmtId="0" fontId="24" fillId="0" borderId="3" xfId="3" applyFont="1" applyFill="1" applyBorder="1" applyAlignment="1">
      <alignment horizontal="left" vertical="center"/>
    </xf>
    <xf numFmtId="0" fontId="23" fillId="0" borderId="2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/>
    </xf>
    <xf numFmtId="0" fontId="6" fillId="0" borderId="10" xfId="3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/>
    </xf>
    <xf numFmtId="1" fontId="11" fillId="0" borderId="1" xfId="3" applyNumberFormat="1" applyFont="1" applyFill="1" applyBorder="1" applyAlignment="1">
      <alignment horizontal="center" vertical="center"/>
    </xf>
    <xf numFmtId="1" fontId="6" fillId="0" borderId="10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49" fontId="6" fillId="0" borderId="10" xfId="3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left" vertical="center"/>
    </xf>
    <xf numFmtId="0" fontId="6" fillId="0" borderId="1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left"/>
    </xf>
    <xf numFmtId="2" fontId="8" fillId="0" borderId="0" xfId="3" applyNumberFormat="1" applyFont="1" applyFill="1"/>
    <xf numFmtId="49" fontId="6" fillId="0" borderId="0" xfId="3" applyNumberFormat="1" applyFont="1" applyFill="1" applyAlignment="1">
      <alignment horizontal="center"/>
    </xf>
    <xf numFmtId="0" fontId="4" fillId="0" borderId="0" xfId="3" applyFont="1" applyFill="1"/>
    <xf numFmtId="0" fontId="9" fillId="0" borderId="0" xfId="3" applyFont="1" applyFill="1"/>
    <xf numFmtId="0" fontId="25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2" fontId="4" fillId="0" borderId="0" xfId="3" applyNumberFormat="1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0" fontId="4" fillId="0" borderId="0" xfId="3" applyNumberFormat="1" applyFont="1" applyFill="1" applyAlignment="1">
      <alignment horizontal="center"/>
    </xf>
    <xf numFmtId="49" fontId="4" fillId="0" borderId="0" xfId="3" applyNumberFormat="1" applyFont="1" applyFill="1" applyAlignment="1">
      <alignment horizontal="center"/>
    </xf>
    <xf numFmtId="0" fontId="6" fillId="0" borderId="0" xfId="3" applyNumberFormat="1" applyFont="1" applyFill="1"/>
    <xf numFmtId="49" fontId="6" fillId="0" borderId="0" xfId="3" applyNumberFormat="1" applyFont="1" applyFill="1"/>
    <xf numFmtId="0" fontId="20" fillId="0" borderId="0" xfId="3" applyFont="1" applyFill="1" applyAlignment="1">
      <alignment horizontal="left"/>
    </xf>
    <xf numFmtId="49" fontId="5" fillId="0" borderId="0" xfId="1" applyNumberFormat="1" applyFont="1" applyFill="1" applyAlignment="1">
      <alignment horizontal="center"/>
    </xf>
    <xf numFmtId="166" fontId="6" fillId="0" borderId="0" xfId="1" applyNumberFormat="1" applyFont="1" applyFill="1"/>
    <xf numFmtId="0" fontId="16" fillId="0" borderId="0" xfId="1" applyFont="1" applyFill="1"/>
    <xf numFmtId="0" fontId="18" fillId="0" borderId="0" xfId="1" applyFont="1" applyFill="1" applyBorder="1"/>
    <xf numFmtId="49" fontId="11" fillId="0" borderId="0" xfId="1" applyNumberFormat="1" applyFont="1" applyFill="1" applyAlignment="1">
      <alignment horizontal="center"/>
    </xf>
    <xf numFmtId="2" fontId="11" fillId="0" borderId="0" xfId="1" applyNumberFormat="1" applyFont="1" applyFill="1"/>
    <xf numFmtId="166" fontId="8" fillId="0" borderId="0" xfId="1" applyNumberFormat="1" applyFont="1" applyFill="1"/>
    <xf numFmtId="0" fontId="18" fillId="0" borderId="0" xfId="1" applyFont="1" applyFill="1"/>
    <xf numFmtId="49" fontId="16" fillId="0" borderId="0" xfId="1" applyNumberFormat="1" applyFont="1" applyFill="1" applyAlignment="1">
      <alignment horizontal="center"/>
    </xf>
    <xf numFmtId="49" fontId="17" fillId="0" borderId="0" xfId="1" applyNumberFormat="1" applyFont="1" applyFill="1" applyAlignment="1">
      <alignment horizontal="center"/>
    </xf>
    <xf numFmtId="49" fontId="12" fillId="0" borderId="0" xfId="1" applyNumberFormat="1" applyFont="1" applyFill="1" applyAlignment="1">
      <alignment horizontal="center"/>
    </xf>
    <xf numFmtId="2" fontId="12" fillId="0" borderId="0" xfId="1" applyNumberFormat="1" applyFont="1" applyFill="1"/>
    <xf numFmtId="49" fontId="5" fillId="0" borderId="1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left" vertical="center"/>
    </xf>
    <xf numFmtId="2" fontId="5" fillId="0" borderId="8" xfId="1" applyNumberFormat="1" applyFont="1" applyFill="1" applyBorder="1" applyAlignment="1">
      <alignment horizontal="center" vertical="center"/>
    </xf>
    <xf numFmtId="166" fontId="22" fillId="0" borderId="1" xfId="1" applyNumberFormat="1" applyFont="1" applyFill="1" applyBorder="1" applyAlignment="1">
      <alignment horizontal="center" vertical="center"/>
    </xf>
    <xf numFmtId="2" fontId="5" fillId="0" borderId="14" xfId="1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26" fillId="0" borderId="0" xfId="1" applyFont="1" applyFill="1" applyAlignment="1">
      <alignment vertical="center"/>
    </xf>
    <xf numFmtId="49" fontId="18" fillId="0" borderId="0" xfId="1" applyNumberFormat="1" applyFont="1" applyFill="1" applyAlignment="1">
      <alignment horizontal="center"/>
    </xf>
    <xf numFmtId="2" fontId="5" fillId="0" borderId="0" xfId="1" applyNumberFormat="1" applyFont="1" applyFill="1"/>
    <xf numFmtId="166" fontId="5" fillId="0" borderId="0" xfId="1" applyNumberFormat="1" applyFont="1" applyFill="1"/>
    <xf numFmtId="0" fontId="5" fillId="0" borderId="0" xfId="883" applyFont="1" applyFill="1" applyAlignment="1">
      <alignment horizontal="right"/>
    </xf>
    <xf numFmtId="0" fontId="18" fillId="0" borderId="0" xfId="883" applyFont="1" applyFill="1" applyBorder="1"/>
    <xf numFmtId="1" fontId="18" fillId="0" borderId="0" xfId="1" applyNumberFormat="1" applyFont="1" applyFill="1"/>
    <xf numFmtId="2" fontId="16" fillId="0" borderId="0" xfId="1" applyNumberFormat="1" applyFont="1" applyFill="1"/>
    <xf numFmtId="166" fontId="14" fillId="0" borderId="0" xfId="1" applyNumberFormat="1" applyFont="1" applyFill="1"/>
    <xf numFmtId="49" fontId="14" fillId="0" borderId="0" xfId="1" applyNumberFormat="1" applyFont="1" applyFill="1" applyAlignment="1">
      <alignment horizontal="center"/>
    </xf>
    <xf numFmtId="0" fontId="8" fillId="0" borderId="0" xfId="883" applyFont="1" applyFill="1" applyAlignment="1">
      <alignment horizontal="right"/>
    </xf>
    <xf numFmtId="0" fontId="14" fillId="0" borderId="0" xfId="883" applyFont="1" applyFill="1" applyAlignment="1">
      <alignment horizontal="right"/>
    </xf>
    <xf numFmtId="0" fontId="55" fillId="0" borderId="0" xfId="1" applyFont="1" applyFill="1"/>
    <xf numFmtId="2" fontId="18" fillId="0" borderId="0" xfId="1" applyNumberFormat="1" applyFont="1" applyFill="1"/>
    <xf numFmtId="2" fontId="16" fillId="0" borderId="1" xfId="1" applyNumberFormat="1" applyFont="1" applyFill="1" applyBorder="1" applyAlignment="1">
      <alignment horizontal="center" vertical="center"/>
    </xf>
    <xf numFmtId="166" fontId="16" fillId="0" borderId="1" xfId="1" applyNumberFormat="1" applyFont="1" applyFill="1" applyBorder="1" applyAlignment="1">
      <alignment horizontal="center" vertical="center"/>
    </xf>
    <xf numFmtId="0" fontId="18" fillId="0" borderId="0" xfId="883" applyFont="1" applyFill="1" applyAlignment="1">
      <alignment horizontal="right"/>
    </xf>
    <xf numFmtId="0" fontId="18" fillId="0" borderId="0" xfId="883" applyFont="1" applyFill="1" applyBorder="1" applyAlignment="1">
      <alignment horizontal="center" vertical="center"/>
    </xf>
    <xf numFmtId="49" fontId="18" fillId="0" borderId="8" xfId="1" applyNumberFormat="1" applyFont="1" applyFill="1" applyBorder="1" applyAlignment="1">
      <alignment horizontal="left" vertical="center"/>
    </xf>
    <xf numFmtId="1" fontId="14" fillId="0" borderId="25" xfId="1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/>
    </xf>
    <xf numFmtId="166" fontId="19" fillId="0" borderId="8" xfId="1" applyNumberFormat="1" applyFont="1" applyFill="1" applyBorder="1" applyAlignment="1">
      <alignment horizontal="center" vertical="center"/>
    </xf>
    <xf numFmtId="2" fontId="18" fillId="0" borderId="0" xfId="883" applyNumberFormat="1" applyFont="1" applyFill="1" applyAlignment="1">
      <alignment horizontal="right" vertical="center"/>
    </xf>
    <xf numFmtId="0" fontId="56" fillId="0" borderId="0" xfId="1" applyFont="1" applyFill="1"/>
    <xf numFmtId="0" fontId="56" fillId="0" borderId="0" xfId="1" applyFont="1" applyFill="1" applyAlignment="1">
      <alignment horizontal="right"/>
    </xf>
    <xf numFmtId="0" fontId="56" fillId="0" borderId="0" xfId="1" applyFont="1" applyFill="1" applyBorder="1" applyAlignment="1">
      <alignment horizontal="center" vertical="center"/>
    </xf>
    <xf numFmtId="49" fontId="18" fillId="0" borderId="0" xfId="1" applyNumberFormat="1" applyFont="1" applyFill="1" applyAlignment="1">
      <alignment horizontal="right" vertical="center"/>
    </xf>
    <xf numFmtId="49" fontId="6" fillId="0" borderId="1" xfId="1" applyNumberFormat="1" applyFont="1" applyFill="1" applyBorder="1" applyAlignment="1">
      <alignment horizontal="center" vertical="center"/>
    </xf>
    <xf numFmtId="166" fontId="22" fillId="0" borderId="13" xfId="1" applyNumberFormat="1" applyFont="1" applyFill="1" applyBorder="1" applyAlignment="1">
      <alignment horizontal="center" vertical="center"/>
    </xf>
    <xf numFmtId="0" fontId="19" fillId="0" borderId="5" xfId="1" applyNumberFormat="1" applyFont="1" applyFill="1" applyBorder="1" applyAlignment="1">
      <alignment horizontal="left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57" fillId="0" borderId="0" xfId="1" applyFont="1" applyFill="1"/>
    <xf numFmtId="0" fontId="57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/>
    </xf>
    <xf numFmtId="0" fontId="14" fillId="0" borderId="4" xfId="1" applyNumberFormat="1" applyFont="1" applyFill="1" applyBorder="1" applyAlignment="1">
      <alignment horizontal="center" vertical="center"/>
    </xf>
    <xf numFmtId="1" fontId="5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horizontal="center"/>
    </xf>
    <xf numFmtId="0" fontId="11" fillId="0" borderId="0" xfId="1" applyFont="1" applyFill="1"/>
    <xf numFmtId="0" fontId="12" fillId="0" borderId="0" xfId="1" applyFont="1" applyFill="1"/>
    <xf numFmtId="2" fontId="8" fillId="0" borderId="1" xfId="1" quotePrefix="1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/>
    </xf>
    <xf numFmtId="0" fontId="20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14" fontId="58" fillId="0" borderId="0" xfId="3" applyNumberFormat="1" applyFont="1" applyFill="1" applyAlignment="1">
      <alignment horizontal="center" vertical="center"/>
    </xf>
    <xf numFmtId="0" fontId="59" fillId="0" borderId="0" xfId="3" applyFont="1" applyFill="1" applyAlignment="1">
      <alignment horizontal="center" vertical="center"/>
    </xf>
    <xf numFmtId="49" fontId="59" fillId="0" borderId="0" xfId="3" applyNumberFormat="1" applyFont="1" applyFill="1" applyAlignment="1">
      <alignment horizontal="right" vertical="center"/>
    </xf>
    <xf numFmtId="0" fontId="8" fillId="0" borderId="0" xfId="139" applyFont="1" applyFill="1" applyAlignment="1">
      <alignment horizontal="center" vertical="center"/>
    </xf>
    <xf numFmtId="0" fontId="8" fillId="0" borderId="0" xfId="139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56" fillId="0" borderId="1" xfId="3" applyFont="1" applyFill="1" applyBorder="1" applyAlignment="1">
      <alignment horizontal="center" vertical="center"/>
    </xf>
    <xf numFmtId="0" fontId="56" fillId="0" borderId="2" xfId="3" applyFont="1" applyFill="1" applyBorder="1" applyAlignment="1">
      <alignment horizontal="center" vertical="center" wrapText="1"/>
    </xf>
    <xf numFmtId="0" fontId="56" fillId="0" borderId="2" xfId="3" applyFont="1" applyFill="1" applyBorder="1" applyAlignment="1">
      <alignment horizontal="right" vertical="center"/>
    </xf>
    <xf numFmtId="0" fontId="56" fillId="0" borderId="3" xfId="3" applyFont="1" applyFill="1" applyBorder="1" applyAlignment="1">
      <alignment horizontal="left" vertical="center"/>
    </xf>
    <xf numFmtId="0" fontId="56" fillId="0" borderId="3" xfId="3" applyFont="1" applyFill="1" applyBorder="1" applyAlignment="1">
      <alignment horizontal="center" vertical="center"/>
    </xf>
    <xf numFmtId="0" fontId="56" fillId="0" borderId="1" xfId="3" applyFont="1" applyFill="1" applyBorder="1" applyAlignment="1">
      <alignment horizontal="center" vertical="center" wrapText="1"/>
    </xf>
    <xf numFmtId="0" fontId="60" fillId="0" borderId="1" xfId="3" applyFont="1" applyFill="1" applyBorder="1" applyAlignment="1">
      <alignment horizontal="center" vertical="center"/>
    </xf>
    <xf numFmtId="2" fontId="61" fillId="0" borderId="1" xfId="139" applyNumberFormat="1" applyFont="1" applyFill="1" applyBorder="1" applyAlignment="1">
      <alignment horizontal="center" vertical="center"/>
    </xf>
    <xf numFmtId="0" fontId="56" fillId="0" borderId="1" xfId="3" applyFont="1" applyFill="1" applyBorder="1" applyAlignment="1">
      <alignment horizontal="left" vertical="center"/>
    </xf>
    <xf numFmtId="0" fontId="12" fillId="0" borderId="0" xfId="3" applyFont="1" applyFill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0" fontId="61" fillId="0" borderId="27" xfId="3" applyFont="1" applyFill="1" applyBorder="1" applyAlignment="1">
      <alignment horizontal="right" vertical="center"/>
    </xf>
    <xf numFmtId="0" fontId="62" fillId="0" borderId="28" xfId="3" applyFont="1" applyFill="1" applyBorder="1" applyAlignment="1">
      <alignment horizontal="left" vertical="center"/>
    </xf>
    <xf numFmtId="49" fontId="56" fillId="0" borderId="26" xfId="3" applyNumberFormat="1" applyFont="1" applyFill="1" applyBorder="1" applyAlignment="1">
      <alignment horizontal="center" vertical="center"/>
    </xf>
    <xf numFmtId="0" fontId="12" fillId="0" borderId="26" xfId="3" applyFont="1" applyFill="1" applyBorder="1" applyAlignment="1">
      <alignment horizontal="left" vertical="center" wrapText="1"/>
    </xf>
    <xf numFmtId="0" fontId="8" fillId="0" borderId="27" xfId="3" applyNumberFormat="1" applyFont="1" applyFill="1" applyBorder="1" applyAlignment="1">
      <alignment horizontal="center" vertical="center"/>
    </xf>
    <xf numFmtId="2" fontId="63" fillId="0" borderId="26" xfId="3" applyNumberFormat="1" applyFont="1" applyFill="1" applyBorder="1" applyAlignment="1">
      <alignment horizontal="center" vertical="center"/>
    </xf>
    <xf numFmtId="2" fontId="22" fillId="0" borderId="0" xfId="3" applyNumberFormat="1" applyFont="1" applyFill="1" applyAlignment="1">
      <alignment horizontal="center" vertical="center"/>
    </xf>
    <xf numFmtId="0" fontId="8" fillId="0" borderId="1" xfId="1233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/>
    </xf>
    <xf numFmtId="2" fontId="5" fillId="0" borderId="14" xfId="1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/>
    </xf>
    <xf numFmtId="0" fontId="8" fillId="0" borderId="14" xfId="1" applyNumberFormat="1" applyFont="1" applyFill="1" applyBorder="1" applyAlignment="1">
      <alignment horizontal="center"/>
    </xf>
    <xf numFmtId="2" fontId="14" fillId="0" borderId="14" xfId="1" applyNumberFormat="1" applyFont="1" applyFill="1" applyBorder="1" applyAlignment="1">
      <alignment horizontal="center"/>
    </xf>
    <xf numFmtId="2" fontId="18" fillId="0" borderId="0" xfId="1" applyNumberFormat="1" applyFont="1" applyFill="1" applyAlignment="1">
      <alignment vertical="center"/>
    </xf>
    <xf numFmtId="0" fontId="6" fillId="0" borderId="0" xfId="3" applyFont="1" applyFill="1" applyAlignment="1">
      <alignment horizontal="right"/>
    </xf>
    <xf numFmtId="0" fontId="8" fillId="0" borderId="2" xfId="3" applyFont="1" applyFill="1" applyBorder="1" applyAlignment="1">
      <alignment horizontal="right" vertical="center"/>
    </xf>
    <xf numFmtId="0" fontId="6" fillId="0" borderId="3" xfId="3" applyFont="1" applyFill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left" vertical="center"/>
    </xf>
    <xf numFmtId="0" fontId="12" fillId="0" borderId="1" xfId="3" applyFont="1" applyFill="1" applyBorder="1" applyAlignment="1">
      <alignment vertical="center"/>
    </xf>
    <xf numFmtId="0" fontId="56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49" fontId="18" fillId="0" borderId="0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49" fontId="8" fillId="0" borderId="8" xfId="1" applyNumberFormat="1" applyFont="1" applyFill="1" applyBorder="1" applyAlignment="1">
      <alignment horizontal="center" vertical="center"/>
    </xf>
    <xf numFmtId="166" fontId="22" fillId="0" borderId="8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/>
    </xf>
    <xf numFmtId="49" fontId="5" fillId="0" borderId="1" xfId="883" applyNumberFormat="1" applyFont="1" applyFill="1" applyBorder="1" applyAlignment="1">
      <alignment horizontal="center" vertical="center"/>
    </xf>
    <xf numFmtId="0" fontId="5" fillId="0" borderId="3" xfId="883" applyFont="1" applyFill="1" applyBorder="1" applyAlignment="1">
      <alignment horizontal="left" vertical="center"/>
    </xf>
    <xf numFmtId="0" fontId="5" fillId="0" borderId="2" xfId="883" applyFont="1" applyFill="1" applyBorder="1" applyAlignment="1">
      <alignment horizontal="right" vertical="center"/>
    </xf>
    <xf numFmtId="0" fontId="5" fillId="0" borderId="1" xfId="883" applyFont="1" applyFill="1" applyBorder="1" applyAlignment="1">
      <alignment horizontal="center" vertical="center"/>
    </xf>
    <xf numFmtId="165" fontId="6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right"/>
    </xf>
    <xf numFmtId="2" fontId="14" fillId="0" borderId="8" xfId="1" applyNumberFormat="1" applyFont="1" applyFill="1" applyBorder="1" applyAlignment="1">
      <alignment horizontal="center" vertical="center"/>
    </xf>
    <xf numFmtId="2" fontId="14" fillId="0" borderId="14" xfId="1" applyNumberFormat="1" applyFont="1" applyFill="1" applyBorder="1" applyAlignment="1">
      <alignment horizontal="center" vertical="center"/>
    </xf>
    <xf numFmtId="0" fontId="3" fillId="0" borderId="29" xfId="136" applyBorder="1"/>
    <xf numFmtId="0" fontId="3" fillId="0" borderId="0" xfId="136"/>
    <xf numFmtId="0" fontId="37" fillId="0" borderId="0" xfId="136" applyFont="1"/>
    <xf numFmtId="0" fontId="8" fillId="0" borderId="0" xfId="136" applyFont="1"/>
    <xf numFmtId="0" fontId="8" fillId="0" borderId="29" xfId="136" applyFont="1" applyBorder="1"/>
    <xf numFmtId="0" fontId="71" fillId="0" borderId="0" xfId="136" applyFont="1"/>
    <xf numFmtId="0" fontId="72" fillId="0" borderId="0" xfId="136" applyFont="1"/>
    <xf numFmtId="0" fontId="73" fillId="0" borderId="0" xfId="136" applyFont="1"/>
    <xf numFmtId="0" fontId="8" fillId="0" borderId="9" xfId="136" applyFont="1" applyBorder="1"/>
    <xf numFmtId="0" fontId="8" fillId="0" borderId="0" xfId="136" applyFont="1" applyBorder="1"/>
    <xf numFmtId="49" fontId="9" fillId="0" borderId="0" xfId="136" applyNumberFormat="1" applyFont="1"/>
    <xf numFmtId="0" fontId="8" fillId="0" borderId="30" xfId="136" applyFont="1" applyBorder="1"/>
    <xf numFmtId="0" fontId="8" fillId="0" borderId="26" xfId="136" applyFont="1" applyBorder="1"/>
    <xf numFmtId="0" fontId="9" fillId="0" borderId="0" xfId="136" applyFont="1"/>
    <xf numFmtId="0" fontId="74" fillId="0" borderId="0" xfId="136" applyFont="1"/>
    <xf numFmtId="0" fontId="75" fillId="0" borderId="5" xfId="1" applyFont="1" applyFill="1" applyBorder="1" applyAlignment="1">
      <alignment horizontal="center" vertical="center"/>
    </xf>
    <xf numFmtId="190" fontId="5" fillId="0" borderId="8" xfId="1" applyNumberFormat="1" applyFont="1" applyFill="1" applyBorder="1" applyAlignment="1">
      <alignment horizontal="center" vertical="center"/>
    </xf>
    <xf numFmtId="0" fontId="3" fillId="0" borderId="8" xfId="1567" applyFont="1" applyFill="1" applyBorder="1" applyAlignment="1">
      <alignment horizontal="center"/>
    </xf>
    <xf numFmtId="190" fontId="5" fillId="26" borderId="8" xfId="1" applyNumberFormat="1" applyFont="1" applyFill="1" applyBorder="1" applyAlignment="1">
      <alignment horizontal="center" vertical="center"/>
    </xf>
    <xf numFmtId="0" fontId="14" fillId="26" borderId="0" xfId="1" applyFont="1" applyFill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49" fontId="8" fillId="0" borderId="0" xfId="1" applyNumberFormat="1" applyFont="1" applyFill="1"/>
    <xf numFmtId="49" fontId="18" fillId="0" borderId="0" xfId="1" applyNumberFormat="1" applyFont="1" applyFill="1" applyAlignment="1">
      <alignment horizontal="right"/>
    </xf>
    <xf numFmtId="14" fontId="13" fillId="0" borderId="0" xfId="1" applyNumberFormat="1" applyFont="1" applyFill="1"/>
    <xf numFmtId="0" fontId="5" fillId="0" borderId="1" xfId="1568" applyFont="1" applyFill="1" applyBorder="1" applyAlignment="1">
      <alignment horizontal="center" vertical="center"/>
    </xf>
    <xf numFmtId="0" fontId="5" fillId="0" borderId="2" xfId="1568" applyFont="1" applyFill="1" applyBorder="1" applyAlignment="1">
      <alignment horizontal="right" vertical="center"/>
    </xf>
    <xf numFmtId="0" fontId="5" fillId="0" borderId="3" xfId="1568" applyFont="1" applyFill="1" applyBorder="1" applyAlignment="1">
      <alignment horizontal="left" vertical="center"/>
    </xf>
    <xf numFmtId="49" fontId="5" fillId="0" borderId="1" xfId="1568" applyNumberFormat="1" applyFont="1" applyFill="1" applyBorder="1" applyAlignment="1">
      <alignment horizontal="center" vertical="center"/>
    </xf>
    <xf numFmtId="49" fontId="18" fillId="0" borderId="0" xfId="1568" applyNumberFormat="1" applyFont="1" applyFill="1" applyAlignment="1">
      <alignment horizontal="center"/>
    </xf>
    <xf numFmtId="1" fontId="76" fillId="0" borderId="1" xfId="1" applyNumberFormat="1" applyFont="1" applyFill="1" applyBorder="1" applyAlignment="1">
      <alignment horizontal="center" vertical="center"/>
    </xf>
    <xf numFmtId="49" fontId="18" fillId="0" borderId="0" xfId="1569" applyNumberFormat="1" applyFont="1" applyFill="1" applyBorder="1" applyAlignment="1">
      <alignment horizontal="center"/>
    </xf>
    <xf numFmtId="49" fontId="22" fillId="0" borderId="0" xfId="1" applyNumberFormat="1" applyFont="1" applyFill="1" applyBorder="1" applyAlignment="1">
      <alignment horizontal="center"/>
    </xf>
    <xf numFmtId="14" fontId="14" fillId="0" borderId="0" xfId="1" applyNumberFormat="1" applyFont="1" applyFill="1" applyAlignment="1">
      <alignment horizontal="center"/>
    </xf>
    <xf numFmtId="0" fontId="8" fillId="0" borderId="26" xfId="3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/>
    </xf>
    <xf numFmtId="0" fontId="24" fillId="0" borderId="1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right" vertical="center"/>
    </xf>
    <xf numFmtId="0" fontId="24" fillId="0" borderId="12" xfId="1" applyFont="1" applyFill="1" applyBorder="1" applyAlignment="1">
      <alignment horizontal="left" vertical="center"/>
    </xf>
    <xf numFmtId="49" fontId="24" fillId="0" borderId="10" xfId="1" applyNumberFormat="1" applyFont="1" applyFill="1" applyBorder="1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/>
    </xf>
    <xf numFmtId="1" fontId="24" fillId="0" borderId="10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23" fillId="0" borderId="1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left" vertical="center"/>
    </xf>
    <xf numFmtId="49" fontId="23" fillId="0" borderId="1" xfId="1" applyNumberFormat="1" applyFont="1" applyFill="1" applyBorder="1" applyAlignment="1">
      <alignment horizontal="center" vertical="center"/>
    </xf>
    <xf numFmtId="0" fontId="23" fillId="0" borderId="1" xfId="1" applyNumberFormat="1" applyFont="1" applyFill="1" applyBorder="1" applyAlignment="1">
      <alignment horizontal="left" vertical="center"/>
    </xf>
    <xf numFmtId="1" fontId="77" fillId="0" borderId="1" xfId="1" applyNumberFormat="1" applyFont="1" applyFill="1" applyBorder="1" applyAlignment="1">
      <alignment horizontal="center" vertical="center"/>
    </xf>
    <xf numFmtId="2" fontId="23" fillId="0" borderId="1" xfId="1" applyNumberFormat="1" applyFont="1" applyFill="1" applyBorder="1" applyAlignment="1">
      <alignment horizontal="center" vertical="center"/>
    </xf>
    <xf numFmtId="1" fontId="60" fillId="0" borderId="1" xfId="1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vertical="center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center" vertical="center"/>
    </xf>
    <xf numFmtId="2" fontId="18" fillId="0" borderId="0" xfId="1215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14" fillId="0" borderId="0" xfId="1568" applyFont="1" applyFill="1" applyAlignment="1">
      <alignment horizontal="center"/>
    </xf>
    <xf numFmtId="49" fontId="56" fillId="0" borderId="0" xfId="1569" applyNumberFormat="1" applyFont="1" applyFill="1" applyBorder="1" applyAlignment="1">
      <alignment horizontal="center"/>
    </xf>
    <xf numFmtId="49" fontId="61" fillId="0" borderId="0" xfId="1569" applyNumberFormat="1" applyFont="1" applyFill="1" applyBorder="1" applyAlignment="1">
      <alignment horizontal="center"/>
    </xf>
    <xf numFmtId="49" fontId="18" fillId="0" borderId="0" xfId="1" applyNumberFormat="1" applyFont="1" applyFill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9" fillId="0" borderId="0" xfId="139" applyFont="1" applyFill="1" applyAlignment="1">
      <alignment vertical="center"/>
    </xf>
    <xf numFmtId="0" fontId="4" fillId="0" borderId="0" xfId="139" applyFont="1" applyFill="1" applyAlignment="1">
      <alignment horizontal="center" vertical="center"/>
    </xf>
    <xf numFmtId="0" fontId="20" fillId="0" borderId="0" xfId="139" applyFont="1" applyFill="1" applyAlignment="1">
      <alignment horizontal="left" vertical="center"/>
    </xf>
    <xf numFmtId="0" fontId="6" fillId="0" borderId="0" xfId="139" applyFont="1" applyFill="1" applyAlignment="1">
      <alignment vertical="center"/>
    </xf>
    <xf numFmtId="0" fontId="20" fillId="0" borderId="0" xfId="139" applyFont="1" applyFill="1" applyAlignment="1">
      <alignment horizontal="center" vertical="center"/>
    </xf>
    <xf numFmtId="0" fontId="9" fillId="0" borderId="0" xfId="139" applyFont="1" applyFill="1" applyAlignment="1">
      <alignment horizontal="left" vertical="center"/>
    </xf>
    <xf numFmtId="0" fontId="8" fillId="0" borderId="0" xfId="139" applyFont="1" applyFill="1" applyAlignment="1">
      <alignment vertical="center"/>
    </xf>
    <xf numFmtId="14" fontId="58" fillId="0" borderId="0" xfId="139" applyNumberFormat="1" applyFont="1" applyFill="1" applyAlignment="1">
      <alignment horizontal="center" vertical="center"/>
    </xf>
    <xf numFmtId="0" fontId="59" fillId="0" borderId="0" xfId="139" applyFont="1" applyFill="1" applyAlignment="1">
      <alignment horizontal="center" vertical="center"/>
    </xf>
    <xf numFmtId="0" fontId="6" fillId="0" borderId="0" xfId="139" applyFont="1" applyFill="1" applyAlignment="1">
      <alignment horizontal="right" vertical="center"/>
    </xf>
    <xf numFmtId="49" fontId="12" fillId="0" borderId="11" xfId="139" applyNumberFormat="1" applyFont="1" applyFill="1" applyBorder="1" applyAlignment="1">
      <alignment horizontal="center" vertical="center"/>
    </xf>
    <xf numFmtId="49" fontId="12" fillId="0" borderId="31" xfId="139" applyNumberFormat="1" applyFont="1" applyFill="1" applyBorder="1" applyAlignment="1">
      <alignment horizontal="center" vertical="center"/>
    </xf>
    <xf numFmtId="49" fontId="12" fillId="0" borderId="12" xfId="139" applyNumberFormat="1" applyFont="1" applyFill="1" applyBorder="1" applyAlignment="1">
      <alignment horizontal="center" vertical="center"/>
    </xf>
    <xf numFmtId="0" fontId="56" fillId="0" borderId="1" xfId="139" applyFont="1" applyFill="1" applyBorder="1" applyAlignment="1">
      <alignment horizontal="center" vertical="center"/>
    </xf>
    <xf numFmtId="0" fontId="56" fillId="0" borderId="1" xfId="139" applyFont="1" applyFill="1" applyBorder="1" applyAlignment="1">
      <alignment horizontal="center" vertical="center" wrapText="1"/>
    </xf>
    <xf numFmtId="0" fontId="56" fillId="0" borderId="2" xfId="139" applyFont="1" applyFill="1" applyBorder="1" applyAlignment="1">
      <alignment horizontal="right" vertical="center"/>
    </xf>
    <xf numFmtId="0" fontId="56" fillId="0" borderId="3" xfId="139" applyFont="1" applyFill="1" applyBorder="1" applyAlignment="1">
      <alignment horizontal="left" vertical="center"/>
    </xf>
    <xf numFmtId="0" fontId="56" fillId="0" borderId="1" xfId="139" applyFont="1" applyFill="1" applyBorder="1" applyAlignment="1">
      <alignment horizontal="left" vertical="center"/>
    </xf>
    <xf numFmtId="0" fontId="56" fillId="0" borderId="0" xfId="139" applyFont="1" applyFill="1" applyAlignment="1">
      <alignment horizontal="center" vertical="center"/>
    </xf>
    <xf numFmtId="0" fontId="8" fillId="0" borderId="1" xfId="139" applyFont="1" applyFill="1" applyBorder="1" applyAlignment="1">
      <alignment horizontal="center" vertical="center"/>
    </xf>
    <xf numFmtId="0" fontId="61" fillId="0" borderId="2" xfId="139" applyFont="1" applyFill="1" applyBorder="1" applyAlignment="1">
      <alignment horizontal="right" vertical="center"/>
    </xf>
    <xf numFmtId="0" fontId="62" fillId="0" borderId="3" xfId="139" applyFont="1" applyFill="1" applyBorder="1" applyAlignment="1">
      <alignment horizontal="left" vertical="center"/>
    </xf>
    <xf numFmtId="49" fontId="56" fillId="0" borderId="1" xfId="139" applyNumberFormat="1" applyFont="1" applyFill="1" applyBorder="1" applyAlignment="1">
      <alignment horizontal="center" vertical="center"/>
    </xf>
    <xf numFmtId="0" fontId="12" fillId="0" borderId="1" xfId="139" applyFont="1" applyFill="1" applyBorder="1" applyAlignment="1">
      <alignment horizontal="left" vertical="center" wrapText="1"/>
    </xf>
    <xf numFmtId="0" fontId="8" fillId="0" borderId="1" xfId="139" applyNumberFormat="1" applyFont="1" applyFill="1" applyBorder="1" applyAlignment="1">
      <alignment horizontal="center" vertical="center"/>
    </xf>
    <xf numFmtId="2" fontId="62" fillId="0" borderId="1" xfId="139" applyNumberFormat="1" applyFont="1" applyFill="1" applyBorder="1" applyAlignment="1">
      <alignment horizontal="center" vertical="center"/>
    </xf>
    <xf numFmtId="2" fontId="22" fillId="0" borderId="0" xfId="139" applyNumberFormat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center"/>
    </xf>
    <xf numFmtId="1" fontId="6" fillId="0" borderId="0" xfId="1" applyNumberFormat="1" applyFont="1" applyFill="1"/>
    <xf numFmtId="49" fontId="78" fillId="0" borderId="0" xfId="2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/>
    </xf>
    <xf numFmtId="0" fontId="12" fillId="0" borderId="0" xfId="1" applyFont="1" applyFill="1" applyAlignment="1">
      <alignment horizontal="left"/>
    </xf>
    <xf numFmtId="0" fontId="17" fillId="0" borderId="0" xfId="1" applyFont="1" applyFill="1" applyAlignment="1">
      <alignment horizontal="center"/>
    </xf>
    <xf numFmtId="0" fontId="17" fillId="0" borderId="0" xfId="1" applyFont="1" applyFill="1" applyAlignment="1">
      <alignment horizontal="left"/>
    </xf>
    <xf numFmtId="0" fontId="11" fillId="0" borderId="32" xfId="1" applyFont="1" applyFill="1" applyBorder="1" applyAlignment="1">
      <alignment horizontal="center"/>
    </xf>
    <xf numFmtId="0" fontId="11" fillId="0" borderId="33" xfId="1" applyFont="1" applyFill="1" applyBorder="1" applyAlignment="1">
      <alignment horizontal="center"/>
    </xf>
    <xf numFmtId="0" fontId="11" fillId="0" borderId="34" xfId="1" applyFont="1" applyFill="1" applyBorder="1" applyAlignment="1">
      <alignment horizontal="right"/>
    </xf>
    <xf numFmtId="0" fontId="11" fillId="0" borderId="35" xfId="1" applyFont="1" applyFill="1" applyBorder="1" applyAlignment="1">
      <alignment horizontal="left"/>
    </xf>
    <xf numFmtId="49" fontId="12" fillId="0" borderId="36" xfId="1" applyNumberFormat="1" applyFont="1" applyFill="1" applyBorder="1" applyAlignment="1">
      <alignment horizontal="left"/>
    </xf>
    <xf numFmtId="0" fontId="12" fillId="0" borderId="36" xfId="1" applyNumberFormat="1" applyFont="1" applyFill="1" applyBorder="1" applyAlignment="1">
      <alignment horizontal="left"/>
    </xf>
    <xf numFmtId="1" fontId="11" fillId="0" borderId="34" xfId="1" applyNumberFormat="1" applyFont="1" applyFill="1" applyBorder="1" applyAlignment="1">
      <alignment horizontal="center"/>
    </xf>
    <xf numFmtId="165" fontId="11" fillId="0" borderId="36" xfId="1" applyNumberFormat="1" applyFont="1" applyFill="1" applyBorder="1" applyAlignment="1">
      <alignment horizontal="center"/>
    </xf>
    <xf numFmtId="0" fontId="11" fillId="0" borderId="36" xfId="1" applyFont="1" applyFill="1" applyBorder="1" applyAlignment="1">
      <alignment horizontal="center"/>
    </xf>
    <xf numFmtId="0" fontId="11" fillId="0" borderId="37" xfId="1" applyFont="1" applyFill="1" applyBorder="1" applyAlignment="1">
      <alignment horizontal="center"/>
    </xf>
    <xf numFmtId="0" fontId="23" fillId="0" borderId="43" xfId="1" applyFont="1" applyFill="1" applyBorder="1" applyAlignment="1">
      <alignment horizontal="left"/>
    </xf>
    <xf numFmtId="0" fontId="74" fillId="0" borderId="1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right"/>
    </xf>
    <xf numFmtId="0" fontId="24" fillId="0" borderId="3" xfId="1" applyFont="1" applyFill="1" applyBorder="1" applyAlignment="1">
      <alignment horizontal="left"/>
    </xf>
    <xf numFmtId="0" fontId="23" fillId="0" borderId="1" xfId="1" applyFont="1" applyFill="1" applyBorder="1" applyAlignment="1">
      <alignment horizontal="left"/>
    </xf>
    <xf numFmtId="0" fontId="8" fillId="0" borderId="48" xfId="1" applyFont="1" applyFill="1" applyBorder="1" applyAlignment="1">
      <alignment horizontal="left"/>
    </xf>
    <xf numFmtId="0" fontId="79" fillId="0" borderId="30" xfId="1568" applyFont="1" applyFill="1" applyBorder="1" applyAlignment="1">
      <alignment horizontal="right"/>
    </xf>
    <xf numFmtId="0" fontId="63" fillId="0" borderId="30" xfId="1568" applyFont="1" applyFill="1" applyBorder="1" applyAlignment="1">
      <alignment horizontal="left"/>
    </xf>
    <xf numFmtId="49" fontId="79" fillId="0" borderId="1" xfId="1568" applyNumberFormat="1" applyFont="1" applyFill="1" applyBorder="1" applyAlignment="1">
      <alignment horizontal="center"/>
    </xf>
    <xf numFmtId="0" fontId="79" fillId="0" borderId="49" xfId="1568" applyFont="1" applyFill="1" applyBorder="1" applyAlignment="1">
      <alignment horizontal="left"/>
    </xf>
    <xf numFmtId="0" fontId="74" fillId="0" borderId="51" xfId="1" applyFont="1" applyFill="1" applyBorder="1" applyAlignment="1">
      <alignment horizontal="center"/>
    </xf>
    <xf numFmtId="0" fontId="23" fillId="0" borderId="52" xfId="1" applyFont="1" applyFill="1" applyBorder="1" applyAlignment="1">
      <alignment horizontal="right"/>
    </xf>
    <xf numFmtId="0" fontId="24" fillId="0" borderId="53" xfId="1" applyFont="1" applyFill="1" applyBorder="1" applyAlignment="1">
      <alignment horizontal="left"/>
    </xf>
    <xf numFmtId="0" fontId="23" fillId="0" borderId="51" xfId="1" applyFont="1" applyFill="1" applyBorder="1" applyAlignment="1">
      <alignment horizontal="left"/>
    </xf>
    <xf numFmtId="0" fontId="8" fillId="0" borderId="55" xfId="1" applyFont="1" applyFill="1" applyBorder="1" applyAlignment="1">
      <alignment horizontal="left"/>
    </xf>
    <xf numFmtId="49" fontId="8" fillId="0" borderId="0" xfId="1" applyNumberFormat="1" applyFont="1" applyFill="1" applyAlignment="1">
      <alignment horizontal="left"/>
    </xf>
    <xf numFmtId="0" fontId="8" fillId="0" borderId="0" xfId="1" applyNumberFormat="1" applyFont="1" applyFill="1" applyAlignment="1">
      <alignment horizontal="left"/>
    </xf>
    <xf numFmtId="1" fontId="8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0" fontId="11" fillId="0" borderId="56" xfId="1" applyFont="1" applyFill="1" applyBorder="1" applyAlignment="1">
      <alignment horizontal="center"/>
    </xf>
    <xf numFmtId="0" fontId="11" fillId="0" borderId="39" xfId="1" applyFont="1" applyFill="1" applyBorder="1" applyAlignment="1">
      <alignment horizontal="right"/>
    </xf>
    <xf numFmtId="0" fontId="11" fillId="0" borderId="42" xfId="1" applyFont="1" applyFill="1" applyBorder="1" applyAlignment="1">
      <alignment horizontal="left"/>
    </xf>
    <xf numFmtId="0" fontId="12" fillId="0" borderId="43" xfId="1" applyNumberFormat="1" applyFont="1" applyFill="1" applyBorder="1" applyAlignment="1">
      <alignment horizontal="left"/>
    </xf>
    <xf numFmtId="1" fontId="11" fillId="0" borderId="39" xfId="1" applyNumberFormat="1" applyFont="1" applyFill="1" applyBorder="1" applyAlignment="1">
      <alignment horizontal="center"/>
    </xf>
    <xf numFmtId="165" fontId="11" fillId="0" borderId="43" xfId="1" applyNumberFormat="1" applyFont="1" applyFill="1" applyBorder="1" applyAlignment="1">
      <alignment horizontal="center"/>
    </xf>
    <xf numFmtId="0" fontId="11" fillId="0" borderId="43" xfId="1" applyFont="1" applyFill="1" applyBorder="1" applyAlignment="1">
      <alignment horizontal="center"/>
    </xf>
    <xf numFmtId="0" fontId="11" fillId="0" borderId="44" xfId="1" applyFont="1" applyFill="1" applyBorder="1" applyAlignment="1">
      <alignment horizontal="center"/>
    </xf>
    <xf numFmtId="0" fontId="79" fillId="0" borderId="39" xfId="1568" applyFont="1" applyFill="1" applyBorder="1" applyAlignment="1">
      <alignment horizontal="center"/>
    </xf>
    <xf numFmtId="0" fontId="79" fillId="0" borderId="40" xfId="1568" applyFont="1" applyFill="1" applyBorder="1" applyAlignment="1">
      <alignment horizontal="right"/>
    </xf>
    <xf numFmtId="0" fontId="63" fillId="0" borderId="41" xfId="1568" applyFont="1" applyFill="1" applyBorder="1" applyAlignment="1">
      <alignment horizontal="left"/>
    </xf>
    <xf numFmtId="49" fontId="79" fillId="0" borderId="42" xfId="1568" applyNumberFormat="1" applyFont="1" applyFill="1" applyBorder="1" applyAlignment="1">
      <alignment horizontal="center"/>
    </xf>
    <xf numFmtId="0" fontId="79" fillId="0" borderId="44" xfId="1568" applyFont="1" applyFill="1" applyBorder="1" applyAlignment="1">
      <alignment horizontal="left"/>
    </xf>
    <xf numFmtId="0" fontId="79" fillId="0" borderId="1" xfId="1568" applyFont="1" applyFill="1" applyBorder="1" applyAlignment="1">
      <alignment horizontal="center"/>
    </xf>
    <xf numFmtId="49" fontId="23" fillId="0" borderId="1" xfId="1" applyNumberFormat="1" applyFont="1" applyFill="1" applyBorder="1" applyAlignment="1"/>
    <xf numFmtId="49" fontId="23" fillId="0" borderId="1" xfId="1" applyNumberFormat="1" applyFont="1" applyFill="1" applyBorder="1" applyAlignment="1">
      <alignment horizontal="center"/>
    </xf>
    <xf numFmtId="49" fontId="23" fillId="0" borderId="53" xfId="1" applyNumberFormat="1" applyFont="1" applyFill="1" applyBorder="1" applyAlignment="1">
      <alignment horizontal="center"/>
    </xf>
    <xf numFmtId="0" fontId="22" fillId="0" borderId="1" xfId="1" applyFont="1" applyFill="1" applyBorder="1" applyAlignment="1">
      <alignment vertical="center"/>
    </xf>
    <xf numFmtId="0" fontId="11" fillId="0" borderId="57" xfId="1" applyFont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left"/>
    </xf>
    <xf numFmtId="0" fontId="6" fillId="0" borderId="38" xfId="1" applyFont="1" applyFill="1" applyBorder="1" applyAlignment="1">
      <alignment horizontal="center" vertical="center"/>
    </xf>
    <xf numFmtId="0" fontId="74" fillId="0" borderId="58" xfId="1" applyFont="1" applyFill="1" applyBorder="1" applyAlignment="1">
      <alignment horizontal="center"/>
    </xf>
    <xf numFmtId="0" fontId="23" fillId="0" borderId="40" xfId="1" applyFont="1" applyFill="1" applyBorder="1" applyAlignment="1">
      <alignment horizontal="right"/>
    </xf>
    <xf numFmtId="0" fontId="24" fillId="0" borderId="41" xfId="1" applyFont="1" applyFill="1" applyBorder="1" applyAlignment="1">
      <alignment horizontal="left"/>
    </xf>
    <xf numFmtId="49" fontId="23" fillId="0" borderId="58" xfId="1" applyNumberFormat="1" applyFont="1" applyFill="1" applyBorder="1" applyAlignment="1"/>
    <xf numFmtId="0" fontId="23" fillId="0" borderId="58" xfId="1" applyFont="1" applyFill="1" applyBorder="1" applyAlignment="1">
      <alignment horizontal="left"/>
    </xf>
    <xf numFmtId="0" fontId="8" fillId="0" borderId="59" xfId="1" applyFont="1" applyFill="1" applyBorder="1" applyAlignment="1">
      <alignment horizontal="left"/>
    </xf>
    <xf numFmtId="0" fontId="6" fillId="0" borderId="60" xfId="1" applyFont="1" applyFill="1" applyBorder="1" applyAlignment="1">
      <alignment horizontal="center" vertical="center"/>
    </xf>
    <xf numFmtId="0" fontId="74" fillId="0" borderId="10" xfId="1" applyFont="1" applyFill="1" applyBorder="1" applyAlignment="1">
      <alignment horizontal="center"/>
    </xf>
    <xf numFmtId="0" fontId="23" fillId="0" borderId="11" xfId="1" applyFont="1" applyFill="1" applyBorder="1" applyAlignment="1">
      <alignment horizontal="right"/>
    </xf>
    <xf numFmtId="0" fontId="24" fillId="0" borderId="12" xfId="1" applyFont="1" applyFill="1" applyBorder="1" applyAlignment="1">
      <alignment horizontal="left"/>
    </xf>
    <xf numFmtId="49" fontId="23" fillId="0" borderId="10" xfId="1" applyNumberFormat="1" applyFont="1" applyFill="1" applyBorder="1" applyAlignment="1"/>
    <xf numFmtId="0" fontId="23" fillId="0" borderId="10" xfId="1" applyFont="1" applyFill="1" applyBorder="1" applyAlignment="1">
      <alignment horizontal="left"/>
    </xf>
    <xf numFmtId="0" fontId="6" fillId="0" borderId="50" xfId="1" applyFont="1" applyFill="1" applyBorder="1" applyAlignment="1">
      <alignment horizontal="center" vertical="center"/>
    </xf>
    <xf numFmtId="0" fontId="79" fillId="0" borderId="51" xfId="1" applyFont="1" applyFill="1" applyBorder="1" applyAlignment="1">
      <alignment horizontal="center"/>
    </xf>
    <xf numFmtId="0" fontId="79" fillId="0" borderId="52" xfId="1" applyFont="1" applyFill="1" applyBorder="1" applyAlignment="1">
      <alignment horizontal="right"/>
    </xf>
    <xf numFmtId="0" fontId="63" fillId="0" borderId="53" xfId="1" applyFont="1" applyFill="1" applyBorder="1" applyAlignment="1">
      <alignment horizontal="left"/>
    </xf>
    <xf numFmtId="49" fontId="79" fillId="0" borderId="51" xfId="1" applyNumberFormat="1" applyFont="1" applyFill="1" applyBorder="1" applyAlignment="1"/>
    <xf numFmtId="0" fontId="4" fillId="0" borderId="0" xfId="136" applyFont="1" applyFill="1"/>
    <xf numFmtId="0" fontId="5" fillId="0" borderId="0" xfId="136" applyFont="1" applyFill="1"/>
    <xf numFmtId="49" fontId="5" fillId="0" borderId="0" xfId="136" applyNumberFormat="1" applyFont="1" applyFill="1"/>
    <xf numFmtId="0" fontId="5" fillId="0" borderId="0" xfId="136" applyNumberFormat="1" applyFont="1" applyFill="1" applyAlignment="1">
      <alignment horizontal="center"/>
    </xf>
    <xf numFmtId="1" fontId="5" fillId="0" borderId="0" xfId="136" applyNumberFormat="1" applyFont="1" applyFill="1" applyAlignment="1">
      <alignment horizontal="center"/>
    </xf>
    <xf numFmtId="165" fontId="6" fillId="0" borderId="0" xfId="136" applyNumberFormat="1" applyFont="1" applyFill="1"/>
    <xf numFmtId="0" fontId="8" fillId="0" borderId="0" xfId="136" applyFont="1" applyFill="1" applyAlignment="1">
      <alignment horizontal="center"/>
    </xf>
    <xf numFmtId="0" fontId="3" fillId="0" borderId="0" xfId="136" applyFont="1" applyFill="1"/>
    <xf numFmtId="0" fontId="7" fillId="0" borderId="0" xfId="136" applyFont="1" applyFill="1" applyAlignment="1">
      <alignment horizontal="right"/>
    </xf>
    <xf numFmtId="0" fontId="8" fillId="0" borderId="0" xfId="136" applyFont="1" applyFill="1"/>
    <xf numFmtId="0" fontId="9" fillId="0" borderId="0" xfId="136" applyFont="1" applyFill="1"/>
    <xf numFmtId="0" fontId="11" fillId="0" borderId="0" xfId="136" applyNumberFormat="1" applyFont="1" applyFill="1"/>
    <xf numFmtId="1" fontId="12" fillId="0" borderId="0" xfId="136" applyNumberFormat="1" applyFont="1" applyFill="1"/>
    <xf numFmtId="165" fontId="11" fillId="0" borderId="0" xfId="136" applyNumberFormat="1" applyFont="1" applyFill="1"/>
    <xf numFmtId="49" fontId="8" fillId="0" borderId="0" xfId="136" applyNumberFormat="1" applyFont="1" applyFill="1" applyAlignment="1">
      <alignment horizontal="center"/>
    </xf>
    <xf numFmtId="0" fontId="13" fillId="0" borderId="0" xfId="136" applyFont="1" applyFill="1"/>
    <xf numFmtId="0" fontId="14" fillId="0" borderId="0" xfId="136" applyFont="1" applyFill="1"/>
    <xf numFmtId="0" fontId="15" fillId="0" borderId="0" xfId="136" applyFont="1" applyFill="1"/>
    <xf numFmtId="49" fontId="16" fillId="0" borderId="0" xfId="136" applyNumberFormat="1" applyFont="1" applyFill="1"/>
    <xf numFmtId="0" fontId="16" fillId="0" borderId="0" xfId="136" applyNumberFormat="1" applyFont="1" applyFill="1"/>
    <xf numFmtId="1" fontId="14" fillId="0" borderId="0" xfId="136" applyNumberFormat="1" applyFont="1" applyFill="1"/>
    <xf numFmtId="49" fontId="14" fillId="0" borderId="0" xfId="136" applyNumberFormat="1" applyFont="1" applyFill="1"/>
    <xf numFmtId="49" fontId="7" fillId="0" borderId="0" xfId="136" applyNumberFormat="1" applyFont="1" applyFill="1" applyAlignment="1">
      <alignment horizontal="right"/>
    </xf>
    <xf numFmtId="49" fontId="11" fillId="0" borderId="0" xfId="136" applyNumberFormat="1" applyFont="1" applyFill="1"/>
    <xf numFmtId="0" fontId="17" fillId="0" borderId="0" xfId="136" applyFont="1" applyFill="1"/>
    <xf numFmtId="49" fontId="17" fillId="0" borderId="0" xfId="136" applyNumberFormat="1" applyFont="1" applyFill="1"/>
    <xf numFmtId="0" fontId="17" fillId="0" borderId="0" xfId="136" applyNumberFormat="1" applyFont="1" applyFill="1" applyAlignment="1">
      <alignment horizontal="left"/>
    </xf>
    <xf numFmtId="49" fontId="12" fillId="0" borderId="0" xfId="136" applyNumberFormat="1" applyFont="1" applyFill="1"/>
    <xf numFmtId="0" fontId="12" fillId="0" borderId="0" xfId="136" applyNumberFormat="1" applyFont="1" applyFill="1"/>
    <xf numFmtId="165" fontId="12" fillId="0" borderId="0" xfId="136" applyNumberFormat="1" applyFont="1" applyFill="1"/>
    <xf numFmtId="0" fontId="15" fillId="0" borderId="9" xfId="136" applyFont="1" applyFill="1" applyBorder="1"/>
    <xf numFmtId="49" fontId="15" fillId="0" borderId="9" xfId="136" applyNumberFormat="1" applyFont="1" applyFill="1" applyBorder="1"/>
    <xf numFmtId="0" fontId="18" fillId="0" borderId="0" xfId="136" applyNumberFormat="1" applyFont="1" applyFill="1"/>
    <xf numFmtId="0" fontId="15" fillId="0" borderId="9" xfId="136" applyFont="1" applyFill="1" applyBorder="1" applyAlignment="1">
      <alignment horizontal="center"/>
    </xf>
    <xf numFmtId="0" fontId="74" fillId="0" borderId="9" xfId="136" applyFont="1" applyFill="1" applyBorder="1"/>
    <xf numFmtId="0" fontId="74" fillId="0" borderId="9" xfId="136" applyFont="1" applyFill="1" applyBorder="1" applyAlignment="1">
      <alignment horizontal="center"/>
    </xf>
    <xf numFmtId="49" fontId="74" fillId="0" borderId="9" xfId="136" applyNumberFormat="1" applyFont="1" applyFill="1" applyBorder="1"/>
    <xf numFmtId="49" fontId="18" fillId="0" borderId="0" xfId="136" applyNumberFormat="1" applyFont="1" applyFill="1"/>
    <xf numFmtId="0" fontId="6" fillId="0" borderId="38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165" fontId="9" fillId="0" borderId="43" xfId="1" applyNumberFormat="1" applyFont="1" applyFill="1" applyBorder="1" applyAlignment="1">
      <alignment horizontal="center" vertical="center"/>
    </xf>
    <xf numFmtId="165" fontId="9" fillId="0" borderId="29" xfId="1" applyNumberFormat="1" applyFont="1" applyFill="1" applyBorder="1" applyAlignment="1">
      <alignment horizontal="center" vertical="center"/>
    </xf>
    <xf numFmtId="165" fontId="9" fillId="0" borderId="54" xfId="1" applyNumberFormat="1" applyFont="1" applyFill="1" applyBorder="1" applyAlignment="1">
      <alignment horizontal="center" vertical="center"/>
    </xf>
    <xf numFmtId="49" fontId="60" fillId="0" borderId="43" xfId="1" applyNumberFormat="1" applyFont="1" applyFill="1" applyBorder="1" applyAlignment="1">
      <alignment horizontal="center" vertical="center"/>
    </xf>
    <xf numFmtId="49" fontId="60" fillId="0" borderId="29" xfId="1" applyNumberFormat="1" applyFont="1" applyFill="1" applyBorder="1" applyAlignment="1">
      <alignment horizontal="center" vertical="center"/>
    </xf>
    <xf numFmtId="49" fontId="60" fillId="0" borderId="54" xfId="1" applyNumberFormat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1" fontId="8" fillId="0" borderId="43" xfId="1" applyNumberFormat="1" applyFont="1" applyFill="1" applyBorder="1" applyAlignment="1">
      <alignment horizontal="center" vertical="center"/>
    </xf>
    <xf numFmtId="1" fontId="8" fillId="0" borderId="29" xfId="1" applyNumberFormat="1" applyFont="1" applyFill="1" applyBorder="1" applyAlignment="1">
      <alignment horizontal="center" vertical="center"/>
    </xf>
    <xf numFmtId="1" fontId="8" fillId="0" borderId="54" xfId="1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>
      <alignment horizontal="center" vertical="center"/>
    </xf>
    <xf numFmtId="49" fontId="12" fillId="0" borderId="9" xfId="3" applyNumberFormat="1" applyFont="1" applyFill="1" applyBorder="1" applyAlignment="1">
      <alignment horizontal="center" vertical="center"/>
    </xf>
    <xf numFmtId="49" fontId="12" fillId="0" borderId="3" xfId="3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</cellXfs>
  <cellStyles count="157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20% – paryškinimas 1 2" xfId="1234"/>
    <cellStyle name="20% – paryškinimas 2 2" xfId="1235"/>
    <cellStyle name="20% – paryškinimas 3 2" xfId="1236"/>
    <cellStyle name="20% – paryškinimas 4 2" xfId="1237"/>
    <cellStyle name="20% – paryškinimas 5 2" xfId="1238"/>
    <cellStyle name="20% – paryškinimas 6 2" xfId="123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40% – paryškinimas 1 2" xfId="1240"/>
    <cellStyle name="40% – paryškinimas 2 2" xfId="1241"/>
    <cellStyle name="40% – paryškinimas 3 2" xfId="1242"/>
    <cellStyle name="40% – paryškinimas 4 2" xfId="1243"/>
    <cellStyle name="40% – paryškinimas 5 2" xfId="1244"/>
    <cellStyle name="40% – paryškinimas 6 2" xfId="124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 Currency (0)" xfId="29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alculation 2" xfId="37"/>
    <cellStyle name="Check Cell 2" xfId="38"/>
    <cellStyle name="Comma [00]" xfId="39"/>
    <cellStyle name="Comma 10" xfId="40"/>
    <cellStyle name="Comma 10 2" xfId="41"/>
    <cellStyle name="Comma 11" xfId="42"/>
    <cellStyle name="Comma 11 2" xfId="43"/>
    <cellStyle name="Comma 12" xfId="44"/>
    <cellStyle name="Comma 12 2" xfId="45"/>
    <cellStyle name="Comma 13" xfId="46"/>
    <cellStyle name="Comma 13 2" xfId="47"/>
    <cellStyle name="Comma 14" xfId="48"/>
    <cellStyle name="Comma 14 2" xfId="49"/>
    <cellStyle name="Comma 15" xfId="50"/>
    <cellStyle name="Comma 15 2" xfId="51"/>
    <cellStyle name="Comma 16" xfId="52"/>
    <cellStyle name="Comma 16 2" xfId="53"/>
    <cellStyle name="Comma 17" xfId="54"/>
    <cellStyle name="Comma 17 2" xfId="55"/>
    <cellStyle name="Comma 18" xfId="56"/>
    <cellStyle name="Comma 18 2" xfId="57"/>
    <cellStyle name="Comma 19" xfId="58"/>
    <cellStyle name="Comma 19 2" xfId="59"/>
    <cellStyle name="Comma 2" xfId="60"/>
    <cellStyle name="Comma 2 2" xfId="61"/>
    <cellStyle name="Comma 2 3" xfId="62"/>
    <cellStyle name="Comma 2_DALYVIAI" xfId="63"/>
    <cellStyle name="Comma 20" xfId="64"/>
    <cellStyle name="Comma 20 2" xfId="65"/>
    <cellStyle name="Comma 21" xfId="66"/>
    <cellStyle name="Comma 21 2" xfId="67"/>
    <cellStyle name="Comma 22" xfId="68"/>
    <cellStyle name="Comma 22 2" xfId="69"/>
    <cellStyle name="Comma 23" xfId="70"/>
    <cellStyle name="Comma 23 2" xfId="71"/>
    <cellStyle name="Comma 24" xfId="72"/>
    <cellStyle name="Comma 24 2" xfId="73"/>
    <cellStyle name="Comma 25" xfId="74"/>
    <cellStyle name="Comma 25 2" xfId="75"/>
    <cellStyle name="Comma 26" xfId="76"/>
    <cellStyle name="Comma 26 2" xfId="77"/>
    <cellStyle name="Comma 27" xfId="78"/>
    <cellStyle name="Comma 27 2" xfId="79"/>
    <cellStyle name="Comma 28" xfId="80"/>
    <cellStyle name="Comma 28 2" xfId="81"/>
    <cellStyle name="Comma 29" xfId="82"/>
    <cellStyle name="Comma 29 2" xfId="83"/>
    <cellStyle name="Comma 3" xfId="84"/>
    <cellStyle name="Comma 3 2" xfId="85"/>
    <cellStyle name="Comma 30" xfId="86"/>
    <cellStyle name="Comma 30 2" xfId="87"/>
    <cellStyle name="Comma 30 2 2" xfId="88"/>
    <cellStyle name="Comma 30 3" xfId="89"/>
    <cellStyle name="Comma 30 3 2" xfId="90"/>
    <cellStyle name="Comma 30 4" xfId="91"/>
    <cellStyle name="Comma 31" xfId="92"/>
    <cellStyle name="Comma 31 2" xfId="93"/>
    <cellStyle name="Comma 32" xfId="94"/>
    <cellStyle name="Comma 32 2" xfId="95"/>
    <cellStyle name="Comma 33" xfId="96"/>
    <cellStyle name="Comma 33 2" xfId="97"/>
    <cellStyle name="Comma 34" xfId="98"/>
    <cellStyle name="Comma 34 2" xfId="99"/>
    <cellStyle name="Comma 35" xfId="100"/>
    <cellStyle name="Comma 35 2" xfId="101"/>
    <cellStyle name="Comma 4" xfId="102"/>
    <cellStyle name="Comma 4 2" xfId="103"/>
    <cellStyle name="Comma 5" xfId="104"/>
    <cellStyle name="Comma 5 2" xfId="105"/>
    <cellStyle name="Comma 6" xfId="106"/>
    <cellStyle name="Comma 6 2" xfId="107"/>
    <cellStyle name="Comma 7" xfId="108"/>
    <cellStyle name="Comma 7 2" xfId="109"/>
    <cellStyle name="Comma 8" xfId="110"/>
    <cellStyle name="Comma 8 2" xfId="111"/>
    <cellStyle name="Comma 9" xfId="112"/>
    <cellStyle name="Comma 9 2" xfId="113"/>
    <cellStyle name="Currency [00]" xfId="114"/>
    <cellStyle name="Currency 2" xfId="115"/>
    <cellStyle name="Currency 2 2" xfId="1246"/>
    <cellStyle name="Date Short" xfId="116"/>
    <cellStyle name="Dziesiętny [0]_PLDT" xfId="117"/>
    <cellStyle name="Dziesiętny_PLDT" xfId="118"/>
    <cellStyle name="Enter Currency (0)" xfId="119"/>
    <cellStyle name="Enter Currency (2)" xfId="120"/>
    <cellStyle name="Enter Units (0)" xfId="121"/>
    <cellStyle name="Enter Units (1)" xfId="122"/>
    <cellStyle name="Enter Units (2)" xfId="123"/>
    <cellStyle name="Excel Built-in Normal" xfId="1247"/>
    <cellStyle name="Explanatory Text 2" xfId="124"/>
    <cellStyle name="Good 2" xfId="125"/>
    <cellStyle name="Grey" xfId="126"/>
    <cellStyle name="Header1" xfId="127"/>
    <cellStyle name="Header2" xfId="128"/>
    <cellStyle name="Heading 1 2" xfId="129"/>
    <cellStyle name="Heading 2 2" xfId="130"/>
    <cellStyle name="Heading 3 2" xfId="131"/>
    <cellStyle name="Heading 4 2" xfId="132"/>
    <cellStyle name="Hiperłącze" xfId="133"/>
    <cellStyle name="Input [yellow]" xfId="134"/>
    <cellStyle name="Input 2" xfId="135"/>
    <cellStyle name="Įprastas 2" xfId="136"/>
    <cellStyle name="Įprastas 2 2" xfId="137"/>
    <cellStyle name="Įprastas 2 2 2" xfId="1248"/>
    <cellStyle name="Įprastas 2 2 3" xfId="1249"/>
    <cellStyle name="Įprastas 2 3" xfId="138"/>
    <cellStyle name="Įprastas 2_1500 M" xfId="1250"/>
    <cellStyle name="Įprastas 3" xfId="139"/>
    <cellStyle name="Įprastas 3 2" xfId="1251"/>
    <cellStyle name="Įprastas 3 3" xfId="1252"/>
    <cellStyle name="Įprastas 3_1500 M" xfId="1253"/>
    <cellStyle name="Įprastas 4" xfId="1254"/>
    <cellStyle name="Įprastas 5" xfId="1255"/>
    <cellStyle name="Įprastas 5 2" xfId="1256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 2" xfId="145"/>
    <cellStyle name="Neutral 2" xfId="146"/>
    <cellStyle name="Normal" xfId="0" builtinId="0"/>
    <cellStyle name="Normal - Style1" xfId="147"/>
    <cellStyle name="Normal 10" xfId="1"/>
    <cellStyle name="Normal 10 2" xfId="148"/>
    <cellStyle name="Normal 10 2 2" xfId="149"/>
    <cellStyle name="Normal 10 2 2 2" xfId="150"/>
    <cellStyle name="Normal 10 2 2 2 2" xfId="151"/>
    <cellStyle name="Normal 10 2 2 2_60bb M" xfId="1257"/>
    <cellStyle name="Normal 10 2 2 3" xfId="152"/>
    <cellStyle name="Normal 10 2 2 3 2" xfId="153"/>
    <cellStyle name="Normal 10 2 2 3_60bb M" xfId="1258"/>
    <cellStyle name="Normal 10 2 2 4" xfId="154"/>
    <cellStyle name="Normal 10 2 2 4 2" xfId="155"/>
    <cellStyle name="Normal 10 2 2 4_60bb M" xfId="1259"/>
    <cellStyle name="Normal 10 2 2_4x200 V" xfId="156"/>
    <cellStyle name="Normal 10 2 3" xfId="157"/>
    <cellStyle name="Normal 10 2 3 2" xfId="158"/>
    <cellStyle name="Normal 10 2 3_60bb M" xfId="1260"/>
    <cellStyle name="Normal 10 2 4" xfId="159"/>
    <cellStyle name="Normal 10 2 5" xfId="160"/>
    <cellStyle name="Normal 10 2 6" xfId="161"/>
    <cellStyle name="Normal 10 2_4x200 M" xfId="162"/>
    <cellStyle name="Normal 10 3" xfId="163"/>
    <cellStyle name="Normal 10 3 2" xfId="164"/>
    <cellStyle name="Normal 10 3 2 2" xfId="165"/>
    <cellStyle name="Normal 10 3 2_60bb M" xfId="1261"/>
    <cellStyle name="Normal 10 3 3" xfId="166"/>
    <cellStyle name="Normal 10 3 3 2" xfId="167"/>
    <cellStyle name="Normal 10 3 3_60bb M" xfId="1262"/>
    <cellStyle name="Normal 10 3 4" xfId="168"/>
    <cellStyle name="Normal 10 3 4 2" xfId="169"/>
    <cellStyle name="Normal 10 3 4_60bb M" xfId="1263"/>
    <cellStyle name="Normal 10 3 5" xfId="170"/>
    <cellStyle name="Normal 10 3_4x200 M" xfId="171"/>
    <cellStyle name="Normal 10 4" xfId="3"/>
    <cellStyle name="Normal 10 5" xfId="172"/>
    <cellStyle name="Normal 10 5 2" xfId="173"/>
    <cellStyle name="Normal 10 5 3" xfId="174"/>
    <cellStyle name="Normal 10 5 4" xfId="175"/>
    <cellStyle name="Normal 10 5_DALYVIAI" xfId="176"/>
    <cellStyle name="Normal 10 6" xfId="177"/>
    <cellStyle name="Normal 10 7" xfId="178"/>
    <cellStyle name="Normal 10 8" xfId="1264"/>
    <cellStyle name="Normal 10 8 2" xfId="1265"/>
    <cellStyle name="Normal 10 8 3" xfId="1266"/>
    <cellStyle name="Normal 10 8 3 2" xfId="1267"/>
    <cellStyle name="Normal 10 9" xfId="1268"/>
    <cellStyle name="Normal 10 9 2" xfId="1233"/>
    <cellStyle name="Normal 10_4x200 V" xfId="179"/>
    <cellStyle name="Normal 11" xfId="180"/>
    <cellStyle name="Normal 11 2" xfId="181"/>
    <cellStyle name="Normal 11 2 2" xfId="182"/>
    <cellStyle name="Normal 11 2 2 2" xfId="183"/>
    <cellStyle name="Normal 11 2 2_60bb M" xfId="1269"/>
    <cellStyle name="Normal 11 2 3" xfId="184"/>
    <cellStyle name="Normal 11 2 3 2" xfId="185"/>
    <cellStyle name="Normal 11 2 3_60bb M" xfId="1270"/>
    <cellStyle name="Normal 11 2 4" xfId="186"/>
    <cellStyle name="Normal 11 2 4 2" xfId="187"/>
    <cellStyle name="Normal 11 2 4_60bb M" xfId="1271"/>
    <cellStyle name="Normal 11 2 5" xfId="188"/>
    <cellStyle name="Normal 11 2_4x200 M" xfId="189"/>
    <cellStyle name="Normal 11 3" xfId="190"/>
    <cellStyle name="Normal 11 3 2" xfId="191"/>
    <cellStyle name="Normal 11 3 2 2" xfId="192"/>
    <cellStyle name="Normal 11 3 2_60bb M" xfId="1272"/>
    <cellStyle name="Normal 11 3 3" xfId="193"/>
    <cellStyle name="Normal 11 3 3 2" xfId="194"/>
    <cellStyle name="Normal 11 3 3_60bb M" xfId="1273"/>
    <cellStyle name="Normal 11 3 4" xfId="195"/>
    <cellStyle name="Normal 11 3 4 2" xfId="196"/>
    <cellStyle name="Normal 11 3 4_60bb M" xfId="1274"/>
    <cellStyle name="Normal 11 3 5" xfId="197"/>
    <cellStyle name="Normal 11 3_4x200 M" xfId="198"/>
    <cellStyle name="Normal 11 4" xfId="199"/>
    <cellStyle name="Normal 11 5" xfId="200"/>
    <cellStyle name="Normal 11 5 2" xfId="201"/>
    <cellStyle name="Normal 11 5 2 2" xfId="202"/>
    <cellStyle name="Normal 11 5 2_60bb M" xfId="1275"/>
    <cellStyle name="Normal 11 5 3" xfId="203"/>
    <cellStyle name="Normal 11 5 3 2" xfId="204"/>
    <cellStyle name="Normal 11 5 3_60bb M" xfId="1276"/>
    <cellStyle name="Normal 11 5 4" xfId="205"/>
    <cellStyle name="Normal 11 5 4 2" xfId="206"/>
    <cellStyle name="Normal 11 5 4_60bb M" xfId="1277"/>
    <cellStyle name="Normal 11 5_DALYVIAI" xfId="207"/>
    <cellStyle name="Normal 11 6" xfId="208"/>
    <cellStyle name="Normal 11 7" xfId="209"/>
    <cellStyle name="Normal 11 8" xfId="210"/>
    <cellStyle name="Normal 11_4x200 M" xfId="211"/>
    <cellStyle name="Normal 12" xfId="212"/>
    <cellStyle name="Normal 12 2" xfId="213"/>
    <cellStyle name="Normal 12 2 2" xfId="214"/>
    <cellStyle name="Normal 12 2 2 2" xfId="215"/>
    <cellStyle name="Normal 12 2 2_60bb M" xfId="1278"/>
    <cellStyle name="Normal 12 2 3" xfId="216"/>
    <cellStyle name="Normal 12 2 3 2" xfId="217"/>
    <cellStyle name="Normal 12 2 3_60bb M" xfId="1279"/>
    <cellStyle name="Normal 12 2 4" xfId="218"/>
    <cellStyle name="Normal 12 2 4 2" xfId="219"/>
    <cellStyle name="Normal 12 2 4_60bb M" xfId="1280"/>
    <cellStyle name="Normal 12 2 5" xfId="220"/>
    <cellStyle name="Normal 12 2_4x200 M" xfId="221"/>
    <cellStyle name="Normal 12 3" xfId="222"/>
    <cellStyle name="Normal 12 4" xfId="223"/>
    <cellStyle name="Normal 12 4 2" xfId="224"/>
    <cellStyle name="Normal 12 4 2 2" xfId="225"/>
    <cellStyle name="Normal 12 4 2_60bb M" xfId="1281"/>
    <cellStyle name="Normal 12 4 3" xfId="226"/>
    <cellStyle name="Normal 12 4 3 2" xfId="227"/>
    <cellStyle name="Normal 12 4 3_60bb M" xfId="1282"/>
    <cellStyle name="Normal 12 4 4" xfId="228"/>
    <cellStyle name="Normal 12 4 4 2" xfId="229"/>
    <cellStyle name="Normal 12 4 4_60bb M" xfId="1283"/>
    <cellStyle name="Normal 12 4_DALYVIAI" xfId="230"/>
    <cellStyle name="Normal 12 5" xfId="231"/>
    <cellStyle name="Normal 12 6" xfId="232"/>
    <cellStyle name="Normal 12 7" xfId="233"/>
    <cellStyle name="Normal 12_4x200 M" xfId="234"/>
    <cellStyle name="Normal 13" xfId="235"/>
    <cellStyle name="Normal 13 2" xfId="236"/>
    <cellStyle name="Normal 13 2 2" xfId="237"/>
    <cellStyle name="Normal 13 2 2 2" xfId="238"/>
    <cellStyle name="Normal 13 2 2 3" xfId="239"/>
    <cellStyle name="Normal 13 2 2 4" xfId="240"/>
    <cellStyle name="Normal 13 2 2 5" xfId="241"/>
    <cellStyle name="Normal 13 2 2_4x200 M" xfId="242"/>
    <cellStyle name="Normal 13 2 3" xfId="243"/>
    <cellStyle name="Normal 13 2 4" xfId="244"/>
    <cellStyle name="Normal 13 2 4 2" xfId="245"/>
    <cellStyle name="Normal 13 2 4_60bb M" xfId="1284"/>
    <cellStyle name="Normal 13 2 5" xfId="246"/>
    <cellStyle name="Normal 13 2 5 2" xfId="247"/>
    <cellStyle name="Normal 13 2 5_60bb M" xfId="1285"/>
    <cellStyle name="Normal 13 2_DALYVIAI" xfId="248"/>
    <cellStyle name="Normal 13 3" xfId="249"/>
    <cellStyle name="Normal 13 3 2" xfId="250"/>
    <cellStyle name="Normal 13 3 2 2" xfId="251"/>
    <cellStyle name="Normal 13 3 2_60bb M" xfId="1286"/>
    <cellStyle name="Normal 13 3 3" xfId="252"/>
    <cellStyle name="Normal 13 3 3 2" xfId="253"/>
    <cellStyle name="Normal 13 3 3_60bb M" xfId="1287"/>
    <cellStyle name="Normal 13 3 4" xfId="254"/>
    <cellStyle name="Normal 13 3 4 2" xfId="255"/>
    <cellStyle name="Normal 13 3 4_60bb M" xfId="1288"/>
    <cellStyle name="Normal 13 3_DALYVIAI" xfId="256"/>
    <cellStyle name="Normal 13 4" xfId="257"/>
    <cellStyle name="Normal 13 5" xfId="258"/>
    <cellStyle name="Normal 13 6" xfId="259"/>
    <cellStyle name="Normal 13_100 M" xfId="1289"/>
    <cellStyle name="Normal 14" xfId="260"/>
    <cellStyle name="Normal 14 2" xfId="261"/>
    <cellStyle name="Normal 14 2 2" xfId="262"/>
    <cellStyle name="Normal 14 2 2 2" xfId="263"/>
    <cellStyle name="Normal 14 2 2 3" xfId="264"/>
    <cellStyle name="Normal 14 2 2 4" xfId="265"/>
    <cellStyle name="Normal 14 2 2 5" xfId="266"/>
    <cellStyle name="Normal 14 2 2_4x200 M" xfId="267"/>
    <cellStyle name="Normal 14 2 3" xfId="268"/>
    <cellStyle name="Normal 14 2 4" xfId="269"/>
    <cellStyle name="Normal 14 2 4 2" xfId="270"/>
    <cellStyle name="Normal 14 2 4_60bb M" xfId="1290"/>
    <cellStyle name="Normal 14 2 5" xfId="271"/>
    <cellStyle name="Normal 14 2 5 2" xfId="272"/>
    <cellStyle name="Normal 14 2 5_60bb M" xfId="1291"/>
    <cellStyle name="Normal 14 2_DALYVIAI" xfId="273"/>
    <cellStyle name="Normal 14 3" xfId="274"/>
    <cellStyle name="Normal 14 3 2" xfId="275"/>
    <cellStyle name="Normal 14 3 2 2" xfId="276"/>
    <cellStyle name="Normal 14 3 2_60bb M" xfId="1292"/>
    <cellStyle name="Normal 14 3 3" xfId="277"/>
    <cellStyle name="Normal 14 3 3 2" xfId="278"/>
    <cellStyle name="Normal 14 3 3_60bb M" xfId="1293"/>
    <cellStyle name="Normal 14 3 4" xfId="279"/>
    <cellStyle name="Normal 14 3 4 2" xfId="280"/>
    <cellStyle name="Normal 14 3 4_60bb M" xfId="1294"/>
    <cellStyle name="Normal 14 3_DALYVIAI" xfId="281"/>
    <cellStyle name="Normal 14 4" xfId="282"/>
    <cellStyle name="Normal 14 5" xfId="283"/>
    <cellStyle name="Normal 14 6" xfId="284"/>
    <cellStyle name="Normal 14_4x200 M" xfId="285"/>
    <cellStyle name="Normal 15" xfId="286"/>
    <cellStyle name="Normal 15 2" xfId="287"/>
    <cellStyle name="Normal 15 2 2" xfId="288"/>
    <cellStyle name="Normal 15 2 2 2" xfId="289"/>
    <cellStyle name="Normal 15 2 2_60bb M" xfId="1295"/>
    <cellStyle name="Normal 15 2 3" xfId="290"/>
    <cellStyle name="Normal 15 2 3 2" xfId="291"/>
    <cellStyle name="Normal 15 2 3_60bb M" xfId="1296"/>
    <cellStyle name="Normal 15 2 4" xfId="292"/>
    <cellStyle name="Normal 15 2 4 2" xfId="293"/>
    <cellStyle name="Normal 15 2 4_60bb M" xfId="1297"/>
    <cellStyle name="Normal 15 2 5" xfId="294"/>
    <cellStyle name="Normal 15 2_4x200 M" xfId="295"/>
    <cellStyle name="Normal 15 3" xfId="296"/>
    <cellStyle name="Normal 15 4" xfId="297"/>
    <cellStyle name="Normal 15 4 2" xfId="298"/>
    <cellStyle name="Normal 15 4 2 2" xfId="299"/>
    <cellStyle name="Normal 15 4 2_60bb M" xfId="1298"/>
    <cellStyle name="Normal 15 4 3" xfId="300"/>
    <cellStyle name="Normal 15 4 3 2" xfId="301"/>
    <cellStyle name="Normal 15 4 3_60bb M" xfId="1299"/>
    <cellStyle name="Normal 15 4 4" xfId="302"/>
    <cellStyle name="Normal 15 4 4 2" xfId="303"/>
    <cellStyle name="Normal 15 4 4_60bb M" xfId="1300"/>
    <cellStyle name="Normal 15 4_DALYVIAI" xfId="304"/>
    <cellStyle name="Normal 15 5" xfId="305"/>
    <cellStyle name="Normal 15 6" xfId="306"/>
    <cellStyle name="Normal 15 7" xfId="307"/>
    <cellStyle name="Normal 15_4x200 M" xfId="308"/>
    <cellStyle name="Normal 16" xfId="309"/>
    <cellStyle name="Normal 16 2" xfId="310"/>
    <cellStyle name="Normal 16 2 2" xfId="311"/>
    <cellStyle name="Normal 16 2 2 2" xfId="312"/>
    <cellStyle name="Normal 16 2 2_60bb M" xfId="1301"/>
    <cellStyle name="Normal 16 2 3" xfId="313"/>
    <cellStyle name="Normal 16 2 3 2" xfId="314"/>
    <cellStyle name="Normal 16 2 3_60bb M" xfId="1302"/>
    <cellStyle name="Normal 16 2 4" xfId="315"/>
    <cellStyle name="Normal 16 2 4 2" xfId="316"/>
    <cellStyle name="Normal 16 2 4_60bb M" xfId="1303"/>
    <cellStyle name="Normal 16 2 5" xfId="317"/>
    <cellStyle name="Normal 16 2_4x200 M" xfId="318"/>
    <cellStyle name="Normal 16 3" xfId="319"/>
    <cellStyle name="Normal 16 3 2" xfId="320"/>
    <cellStyle name="Normal 16 3_60bb M" xfId="1304"/>
    <cellStyle name="Normal 16 4" xfId="321"/>
    <cellStyle name="Normal 16_4x200 M" xfId="322"/>
    <cellStyle name="Normal 17" xfId="323"/>
    <cellStyle name="Normal 17 2" xfId="324"/>
    <cellStyle name="Normal 17 2 2" xfId="325"/>
    <cellStyle name="Normal 17 2 2 2" xfId="326"/>
    <cellStyle name="Normal 17 2 2_60bb M" xfId="1305"/>
    <cellStyle name="Normal 17 2 3" xfId="327"/>
    <cellStyle name="Normal 17 2 3 2" xfId="328"/>
    <cellStyle name="Normal 17 2 3_60bb M" xfId="1306"/>
    <cellStyle name="Normal 17 2 4" xfId="329"/>
    <cellStyle name="Normal 17 2 4 2" xfId="330"/>
    <cellStyle name="Normal 17 2 4_60bb M" xfId="1307"/>
    <cellStyle name="Normal 17 2 5" xfId="331"/>
    <cellStyle name="Normal 17 2_4x200 M" xfId="332"/>
    <cellStyle name="Normal 17 3" xfId="333"/>
    <cellStyle name="Normal 17 4" xfId="334"/>
    <cellStyle name="Normal 17 4 2" xfId="335"/>
    <cellStyle name="Normal 17 4 2 2" xfId="336"/>
    <cellStyle name="Normal 17 4 2_60bb M" xfId="1308"/>
    <cellStyle name="Normal 17 4 3" xfId="337"/>
    <cellStyle name="Normal 17 4 3 2" xfId="338"/>
    <cellStyle name="Normal 17 4 3_60bb M" xfId="1309"/>
    <cellStyle name="Normal 17 4 4" xfId="339"/>
    <cellStyle name="Normal 17 4 4 2" xfId="340"/>
    <cellStyle name="Normal 17 4 4_60bb M" xfId="1310"/>
    <cellStyle name="Normal 17 4_DALYVIAI" xfId="341"/>
    <cellStyle name="Normal 17 5" xfId="342"/>
    <cellStyle name="Normal 17 6" xfId="343"/>
    <cellStyle name="Normal 17 7" xfId="344"/>
    <cellStyle name="Normal 17_4x200 M" xfId="345"/>
    <cellStyle name="Normal 18" xfId="346"/>
    <cellStyle name="Normal 18 2" xfId="347"/>
    <cellStyle name="Normal 18 2 2" xfId="348"/>
    <cellStyle name="Normal 18 2 2 2" xfId="349"/>
    <cellStyle name="Normal 18 2 2 3" xfId="350"/>
    <cellStyle name="Normal 18 2 2 4" xfId="351"/>
    <cellStyle name="Normal 18 2 2 5" xfId="352"/>
    <cellStyle name="Normal 18 2 2_4x200 M" xfId="353"/>
    <cellStyle name="Normal 18 2 3" xfId="354"/>
    <cellStyle name="Normal 18 2 4" xfId="355"/>
    <cellStyle name="Normal 18 2 4 2" xfId="356"/>
    <cellStyle name="Normal 18 2 4_60bb M" xfId="1311"/>
    <cellStyle name="Normal 18 2 5" xfId="357"/>
    <cellStyle name="Normal 18 2 5 2" xfId="358"/>
    <cellStyle name="Normal 18 2 5_60bb M" xfId="1312"/>
    <cellStyle name="Normal 18 2_DALYVIAI" xfId="359"/>
    <cellStyle name="Normal 18 3" xfId="360"/>
    <cellStyle name="Normal 18 3 2" xfId="361"/>
    <cellStyle name="Normal 18 3 2 2" xfId="362"/>
    <cellStyle name="Normal 18 3 2_60bb M" xfId="1313"/>
    <cellStyle name="Normal 18 3 3" xfId="363"/>
    <cellStyle name="Normal 18 3 3 2" xfId="364"/>
    <cellStyle name="Normal 18 3 3_60bb M" xfId="1314"/>
    <cellStyle name="Normal 18 3 4" xfId="365"/>
    <cellStyle name="Normal 18 3 4 2" xfId="366"/>
    <cellStyle name="Normal 18 3 4_60bb M" xfId="1315"/>
    <cellStyle name="Normal 18 3_DALYVIAI" xfId="367"/>
    <cellStyle name="Normal 18 4" xfId="368"/>
    <cellStyle name="Normal 18 5" xfId="369"/>
    <cellStyle name="Normal 18 6" xfId="370"/>
    <cellStyle name="Normal 18_4x200 M" xfId="371"/>
    <cellStyle name="Normal 19" xfId="372"/>
    <cellStyle name="Normal 19 2" xfId="373"/>
    <cellStyle name="Normal 19 2 2" xfId="374"/>
    <cellStyle name="Normal 19 2 2 2" xfId="375"/>
    <cellStyle name="Normal 19 2 2 3" xfId="376"/>
    <cellStyle name="Normal 19 2 2 4" xfId="377"/>
    <cellStyle name="Normal 19 2 2 5" xfId="378"/>
    <cellStyle name="Normal 19 2 2_4x200 M" xfId="379"/>
    <cellStyle name="Normal 19 2 3" xfId="380"/>
    <cellStyle name="Normal 19 2 4" xfId="381"/>
    <cellStyle name="Normal 19 2 4 2" xfId="382"/>
    <cellStyle name="Normal 19 2 4_60bb M" xfId="1316"/>
    <cellStyle name="Normal 19 2 5" xfId="383"/>
    <cellStyle name="Normal 19 2 5 2" xfId="384"/>
    <cellStyle name="Normal 19 2 5_60bb M" xfId="1317"/>
    <cellStyle name="Normal 19 2_DALYVIAI" xfId="385"/>
    <cellStyle name="Normal 19 3" xfId="386"/>
    <cellStyle name="Normal 19 3 2" xfId="387"/>
    <cellStyle name="Normal 19 3 2 2" xfId="388"/>
    <cellStyle name="Normal 19 3 2_60bb M" xfId="1318"/>
    <cellStyle name="Normal 19 3 3" xfId="389"/>
    <cellStyle name="Normal 19 3 3 2" xfId="390"/>
    <cellStyle name="Normal 19 3 3_60bb M" xfId="1319"/>
    <cellStyle name="Normal 19 3 4" xfId="391"/>
    <cellStyle name="Normal 19 3 4 2" xfId="392"/>
    <cellStyle name="Normal 19 3 4_60bb M" xfId="1320"/>
    <cellStyle name="Normal 19 3_DALYVIAI" xfId="393"/>
    <cellStyle name="Normal 19 4" xfId="394"/>
    <cellStyle name="Normal 19 5" xfId="395"/>
    <cellStyle name="Normal 19 6" xfId="396"/>
    <cellStyle name="Normal 19_4x200 M" xfId="397"/>
    <cellStyle name="Normal 2" xfId="398"/>
    <cellStyle name="Normal 2 10" xfId="1321"/>
    <cellStyle name="Normal 2 11" xfId="1322"/>
    <cellStyle name="Normal 2 2" xfId="399"/>
    <cellStyle name="Normal 2 2 10" xfId="400"/>
    <cellStyle name="Normal 2 2 10 2" xfId="401"/>
    <cellStyle name="Normal 2 2 10 2 2" xfId="402"/>
    <cellStyle name="Normal 2 2 10 2_60bb M" xfId="1323"/>
    <cellStyle name="Normal 2 2 10 3" xfId="403"/>
    <cellStyle name="Normal 2 2 10 3 2" xfId="404"/>
    <cellStyle name="Normal 2 2 10 3_60bb M" xfId="1324"/>
    <cellStyle name="Normal 2 2 10 4" xfId="405"/>
    <cellStyle name="Normal 2 2 10 4 2" xfId="406"/>
    <cellStyle name="Normal 2 2 10 4_60bb M" xfId="1325"/>
    <cellStyle name="Normal 2 2 10_4x200 V" xfId="407"/>
    <cellStyle name="Normal 2 2 11" xfId="408"/>
    <cellStyle name="Normal 2 2 12" xfId="409"/>
    <cellStyle name="Normal 2 2 13" xfId="410"/>
    <cellStyle name="Normal 2 2 14" xfId="1326"/>
    <cellStyle name="Normal 2 2 16" xfId="1327"/>
    <cellStyle name="Normal 2 2 18" xfId="1328"/>
    <cellStyle name="Normal 2 2 2" xfId="411"/>
    <cellStyle name="Normal 2 2 2 2" xfId="412"/>
    <cellStyle name="Normal 2 2 2 2 2" xfId="413"/>
    <cellStyle name="Normal 2 2 2 2 3" xfId="414"/>
    <cellStyle name="Normal 2 2 2 2 4" xfId="415"/>
    <cellStyle name="Normal 2 2 2 2 5" xfId="416"/>
    <cellStyle name="Normal 2 2 2 2 5 2" xfId="417"/>
    <cellStyle name="Normal 2 2 2 2 5 3" xfId="418"/>
    <cellStyle name="Normal 2 2 2 2 5_4x200 V" xfId="419"/>
    <cellStyle name="Normal 2 2 2 2_4x200 V" xfId="420"/>
    <cellStyle name="Normal 2 2 2 3" xfId="421"/>
    <cellStyle name="Normal 2 2 2 4" xfId="422"/>
    <cellStyle name="Normal 2 2 2 4 2" xfId="423"/>
    <cellStyle name="Normal 2 2 2 4 3" xfId="424"/>
    <cellStyle name="Normal 2 2 2 4 4" xfId="425"/>
    <cellStyle name="Normal 2 2 2 4 5" xfId="426"/>
    <cellStyle name="Normal 2 2 2 4_4x200 M" xfId="427"/>
    <cellStyle name="Normal 2 2 2 5" xfId="428"/>
    <cellStyle name="Normal 2 2 2 5 2" xfId="429"/>
    <cellStyle name="Normal 2 2 2 5_60bb M" xfId="1329"/>
    <cellStyle name="Normal 2 2 2 6" xfId="430"/>
    <cellStyle name="Normal 2 2 2 6 2" xfId="431"/>
    <cellStyle name="Normal 2 2 2 6_60bb M" xfId="1330"/>
    <cellStyle name="Normal 2 2 2_4x200 V" xfId="432"/>
    <cellStyle name="Normal 2 2 22" xfId="1331"/>
    <cellStyle name="Normal 2 2 3" xfId="433"/>
    <cellStyle name="Normal 2 2 3 10" xfId="434"/>
    <cellStyle name="Normal 2 2 3 10 2" xfId="435"/>
    <cellStyle name="Normal 2 2 3 10_60bb M" xfId="1332"/>
    <cellStyle name="Normal 2 2 3 11" xfId="436"/>
    <cellStyle name="Normal 2 2 3 2" xfId="437"/>
    <cellStyle name="Normal 2 2 3 2 10" xfId="438"/>
    <cellStyle name="Normal 2 2 3 2 2" xfId="439"/>
    <cellStyle name="Normal 2 2 3 2 2 10" xfId="440"/>
    <cellStyle name="Normal 2 2 3 2 2 2" xfId="441"/>
    <cellStyle name="Normal 2 2 3 2 2 2 2" xfId="442"/>
    <cellStyle name="Normal 2 2 3 2 2 2 2 2" xfId="443"/>
    <cellStyle name="Normal 2 2 3 2 2 2 2_60bb M" xfId="1333"/>
    <cellStyle name="Normal 2 2 3 2 2 2 3" xfId="444"/>
    <cellStyle name="Normal 2 2 3 2 2 2 3 2" xfId="445"/>
    <cellStyle name="Normal 2 2 3 2 2 2 3_60bb M" xfId="1334"/>
    <cellStyle name="Normal 2 2 3 2 2 2 4" xfId="446"/>
    <cellStyle name="Normal 2 2 3 2 2 2 4 2" xfId="447"/>
    <cellStyle name="Normal 2 2 3 2 2 2 4_60bb M" xfId="1335"/>
    <cellStyle name="Normal 2 2 3 2 2 2 5" xfId="448"/>
    <cellStyle name="Normal 2 2 3 2 2 2_4x200 M" xfId="449"/>
    <cellStyle name="Normal 2 2 3 2 2 3" xfId="450"/>
    <cellStyle name="Normal 2 2 3 2 2 3 2" xfId="451"/>
    <cellStyle name="Normal 2 2 3 2 2 3 2 2" xfId="452"/>
    <cellStyle name="Normal 2 2 3 2 2 3 2_60bb M" xfId="1336"/>
    <cellStyle name="Normal 2 2 3 2 2 3 3" xfId="453"/>
    <cellStyle name="Normal 2 2 3 2 2 3 3 2" xfId="454"/>
    <cellStyle name="Normal 2 2 3 2 2 3 3_60bb M" xfId="1337"/>
    <cellStyle name="Normal 2 2 3 2 2 3 4" xfId="455"/>
    <cellStyle name="Normal 2 2 3 2 2 3 4 2" xfId="456"/>
    <cellStyle name="Normal 2 2 3 2 2 3 4_60bb M" xfId="1338"/>
    <cellStyle name="Normal 2 2 3 2 2 3 5" xfId="457"/>
    <cellStyle name="Normal 2 2 3 2 2 3_4x200 M" xfId="458"/>
    <cellStyle name="Normal 2 2 3 2 2 4" xfId="459"/>
    <cellStyle name="Normal 2 2 3 2 2 4 2" xfId="460"/>
    <cellStyle name="Normal 2 2 3 2 2 4 2 2" xfId="461"/>
    <cellStyle name="Normal 2 2 3 2 2 4 2_60bb M" xfId="1339"/>
    <cellStyle name="Normal 2 2 3 2 2 4 3" xfId="462"/>
    <cellStyle name="Normal 2 2 3 2 2 4 3 2" xfId="463"/>
    <cellStyle name="Normal 2 2 3 2 2 4 3_60bb M" xfId="1340"/>
    <cellStyle name="Normal 2 2 3 2 2 4 4" xfId="464"/>
    <cellStyle name="Normal 2 2 3 2 2 4 4 2" xfId="465"/>
    <cellStyle name="Normal 2 2 3 2 2 4 4_60bb M" xfId="1341"/>
    <cellStyle name="Normal 2 2 3 2 2 4 5" xfId="466"/>
    <cellStyle name="Normal 2 2 3 2 2 4_4x200 M" xfId="467"/>
    <cellStyle name="Normal 2 2 3 2 2 5" xfId="468"/>
    <cellStyle name="Normal 2 2 3 2 2 5 2" xfId="469"/>
    <cellStyle name="Normal 2 2 3 2 2 5 2 2" xfId="470"/>
    <cellStyle name="Normal 2 2 3 2 2 5 2_60bb M" xfId="1342"/>
    <cellStyle name="Normal 2 2 3 2 2 5 3" xfId="471"/>
    <cellStyle name="Normal 2 2 3 2 2 5 3 2" xfId="472"/>
    <cellStyle name="Normal 2 2 3 2 2 5 3_60bb M" xfId="1343"/>
    <cellStyle name="Normal 2 2 3 2 2 5 4" xfId="473"/>
    <cellStyle name="Normal 2 2 3 2 2 5 4 2" xfId="474"/>
    <cellStyle name="Normal 2 2 3 2 2 5 4_60bb M" xfId="1344"/>
    <cellStyle name="Normal 2 2 3 2 2 5 5" xfId="475"/>
    <cellStyle name="Normal 2 2 3 2 2 5_4x200 M" xfId="476"/>
    <cellStyle name="Normal 2 2 3 2 2 6" xfId="477"/>
    <cellStyle name="Normal 2 2 3 2 2 6 2" xfId="478"/>
    <cellStyle name="Normal 2 2 3 2 2 6_60bb M" xfId="1345"/>
    <cellStyle name="Normal 2 2 3 2 2 7" xfId="479"/>
    <cellStyle name="Normal 2 2 3 2 2 7 2" xfId="480"/>
    <cellStyle name="Normal 2 2 3 2 2 7_60bb M" xfId="1346"/>
    <cellStyle name="Normal 2 2 3 2 2 8" xfId="481"/>
    <cellStyle name="Normal 2 2 3 2 2 8 2" xfId="482"/>
    <cellStyle name="Normal 2 2 3 2 2 8_60bb M" xfId="1347"/>
    <cellStyle name="Normal 2 2 3 2 2 9" xfId="483"/>
    <cellStyle name="Normal 2 2 3 2 2_4x200 M" xfId="484"/>
    <cellStyle name="Normal 2 2 3 2 3" xfId="485"/>
    <cellStyle name="Normal 2 2 3 2 3 2" xfId="486"/>
    <cellStyle name="Normal 2 2 3 2 3_60bb M" xfId="1348"/>
    <cellStyle name="Normal 2 2 3 2 4" xfId="487"/>
    <cellStyle name="Normal 2 2 3 2 4 2" xfId="488"/>
    <cellStyle name="Normal 2 2 3 2 4_60bb M" xfId="1349"/>
    <cellStyle name="Normal 2 2 3 2 5" xfId="489"/>
    <cellStyle name="Normal 2 2 3 2 5 2" xfId="490"/>
    <cellStyle name="Normal 2 2 3 2 5_60bb M" xfId="1350"/>
    <cellStyle name="Normal 2 2 3 2 6" xfId="491"/>
    <cellStyle name="Normal 2 2 3 2 7" xfId="492"/>
    <cellStyle name="Normal 2 2 3 2 8" xfId="493"/>
    <cellStyle name="Normal 2 2 3 2 9" xfId="494"/>
    <cellStyle name="Normal 2 2 3 2_4x200 M" xfId="495"/>
    <cellStyle name="Normal 2 2 3 3" xfId="496"/>
    <cellStyle name="Normal 2 2 3 3 10" xfId="497"/>
    <cellStyle name="Normal 2 2 3 3 2" xfId="498"/>
    <cellStyle name="Normal 2 2 3 3 2 2" xfId="499"/>
    <cellStyle name="Normal 2 2 3 3 2 2 2" xfId="500"/>
    <cellStyle name="Normal 2 2 3 3 2 2_60bb M" xfId="1351"/>
    <cellStyle name="Normal 2 2 3 3 2 3" xfId="501"/>
    <cellStyle name="Normal 2 2 3 3 2 3 2" xfId="502"/>
    <cellStyle name="Normal 2 2 3 3 2 3_60bb M" xfId="1352"/>
    <cellStyle name="Normal 2 2 3 3 2 4" xfId="503"/>
    <cellStyle name="Normal 2 2 3 3 2 4 2" xfId="504"/>
    <cellStyle name="Normal 2 2 3 3 2 4_60bb M" xfId="1353"/>
    <cellStyle name="Normal 2 2 3 3 2 5" xfId="505"/>
    <cellStyle name="Normal 2 2 3 3 2_4x200 M" xfId="506"/>
    <cellStyle name="Normal 2 2 3 3 3" xfId="507"/>
    <cellStyle name="Normal 2 2 3 3 3 2" xfId="508"/>
    <cellStyle name="Normal 2 2 3 3 3 2 2" xfId="509"/>
    <cellStyle name="Normal 2 2 3 3 3 2_60bb M" xfId="1354"/>
    <cellStyle name="Normal 2 2 3 3 3 3" xfId="510"/>
    <cellStyle name="Normal 2 2 3 3 3 3 2" xfId="511"/>
    <cellStyle name="Normal 2 2 3 3 3 3_60bb M" xfId="1355"/>
    <cellStyle name="Normal 2 2 3 3 3 4" xfId="512"/>
    <cellStyle name="Normal 2 2 3 3 3 4 2" xfId="513"/>
    <cellStyle name="Normal 2 2 3 3 3 4_60bb M" xfId="1356"/>
    <cellStyle name="Normal 2 2 3 3 3 5" xfId="514"/>
    <cellStyle name="Normal 2 2 3 3 3_4x200 M" xfId="515"/>
    <cellStyle name="Normal 2 2 3 3 4" xfId="516"/>
    <cellStyle name="Normal 2 2 3 3 4 2" xfId="517"/>
    <cellStyle name="Normal 2 2 3 3 4_60bb M" xfId="1357"/>
    <cellStyle name="Normal 2 2 3 3 5" xfId="518"/>
    <cellStyle name="Normal 2 2 3 3 5 2" xfId="519"/>
    <cellStyle name="Normal 2 2 3 3 5_60bb M" xfId="1358"/>
    <cellStyle name="Normal 2 2 3 3 6" xfId="520"/>
    <cellStyle name="Normal 2 2 3 3 6 2" xfId="521"/>
    <cellStyle name="Normal 2 2 3 3 6_60bb M" xfId="1359"/>
    <cellStyle name="Normal 2 2 3 3 7" xfId="522"/>
    <cellStyle name="Normal 2 2 3 3 7 2" xfId="523"/>
    <cellStyle name="Normal 2 2 3 3 7_60bb M" xfId="1360"/>
    <cellStyle name="Normal 2 2 3 3 8" xfId="524"/>
    <cellStyle name="Normal 2 2 3 3 9" xfId="525"/>
    <cellStyle name="Normal 2 2 3 3_4x200 M" xfId="526"/>
    <cellStyle name="Normal 2 2 3 4" xfId="527"/>
    <cellStyle name="Normal 2 2 3 4 2" xfId="528"/>
    <cellStyle name="Normal 2 2 3 4 2 10" xfId="529"/>
    <cellStyle name="Normal 2 2 3 4 2 2" xfId="530"/>
    <cellStyle name="Normal 2 2 3 4 2 2 2" xfId="531"/>
    <cellStyle name="Normal 2 2 3 4 2 2 2 2" xfId="532"/>
    <cellStyle name="Normal 2 2 3 4 2 2 2_60bb M" xfId="1361"/>
    <cellStyle name="Normal 2 2 3 4 2 2 3" xfId="533"/>
    <cellStyle name="Normal 2 2 3 4 2 2 3 2" xfId="534"/>
    <cellStyle name="Normal 2 2 3 4 2 2 3_60bb M" xfId="1362"/>
    <cellStyle name="Normal 2 2 3 4 2 2 4" xfId="535"/>
    <cellStyle name="Normal 2 2 3 4 2 2 4 2" xfId="536"/>
    <cellStyle name="Normal 2 2 3 4 2 2 4_60bb M" xfId="1363"/>
    <cellStyle name="Normal 2 2 3 4 2 2 5" xfId="537"/>
    <cellStyle name="Normal 2 2 3 4 2 2_4x200 M" xfId="538"/>
    <cellStyle name="Normal 2 2 3 4 2 3" xfId="539"/>
    <cellStyle name="Normal 2 2 3 4 2 3 2" xfId="540"/>
    <cellStyle name="Normal 2 2 3 4 2 3 2 2" xfId="541"/>
    <cellStyle name="Normal 2 2 3 4 2 3 2_60bb M" xfId="1364"/>
    <cellStyle name="Normal 2 2 3 4 2 3 3" xfId="542"/>
    <cellStyle name="Normal 2 2 3 4 2 3 3 2" xfId="543"/>
    <cellStyle name="Normal 2 2 3 4 2 3 3_60bb M" xfId="1365"/>
    <cellStyle name="Normal 2 2 3 4 2 3 4" xfId="544"/>
    <cellStyle name="Normal 2 2 3 4 2 3 4 2" xfId="545"/>
    <cellStyle name="Normal 2 2 3 4 2 3 4_60bb M" xfId="1366"/>
    <cellStyle name="Normal 2 2 3 4 2 3 5" xfId="546"/>
    <cellStyle name="Normal 2 2 3 4 2 3_4x200 M" xfId="547"/>
    <cellStyle name="Normal 2 2 3 4 2 4" xfId="548"/>
    <cellStyle name="Normal 2 2 3 4 2 4 2" xfId="549"/>
    <cellStyle name="Normal 2 2 3 4 2 4_60bb M" xfId="1367"/>
    <cellStyle name="Normal 2 2 3 4 2 5" xfId="550"/>
    <cellStyle name="Normal 2 2 3 4 2 5 2" xfId="551"/>
    <cellStyle name="Normal 2 2 3 4 2 5_60bb M" xfId="1368"/>
    <cellStyle name="Normal 2 2 3 4 2 6" xfId="552"/>
    <cellStyle name="Normal 2 2 3 4 2 6 2" xfId="553"/>
    <cellStyle name="Normal 2 2 3 4 2 6_60bb M" xfId="1369"/>
    <cellStyle name="Normal 2 2 3 4 2 7" xfId="554"/>
    <cellStyle name="Normal 2 2 3 4 2 8" xfId="555"/>
    <cellStyle name="Normal 2 2 3 4 2 9" xfId="556"/>
    <cellStyle name="Normal 2 2 3 4 2_4x200 M" xfId="557"/>
    <cellStyle name="Normal 2 2 3 4 3" xfId="558"/>
    <cellStyle name="Normal 2 2 3 4 3 2" xfId="559"/>
    <cellStyle name="Normal 2 2 3 4 3_60bb M" xfId="1370"/>
    <cellStyle name="Normal 2 2 3 4 4" xfId="560"/>
    <cellStyle name="Normal 2 2 3 4 4 2" xfId="561"/>
    <cellStyle name="Normal 2 2 3 4 4_60bb M" xfId="1371"/>
    <cellStyle name="Normal 2 2 3 4 5" xfId="562"/>
    <cellStyle name="Normal 2 2 3 4 5 2" xfId="563"/>
    <cellStyle name="Normal 2 2 3 4 5_60bb M" xfId="1372"/>
    <cellStyle name="Normal 2 2 3 4 6" xfId="564"/>
    <cellStyle name="Normal 2 2 3 4_4x200 M" xfId="565"/>
    <cellStyle name="Normal 2 2 3 5" xfId="566"/>
    <cellStyle name="Normal 2 2 3 5 10" xfId="567"/>
    <cellStyle name="Normal 2 2 3 5 2" xfId="568"/>
    <cellStyle name="Normal 2 2 3 5 2 2" xfId="569"/>
    <cellStyle name="Normal 2 2 3 5 2 2 2" xfId="570"/>
    <cellStyle name="Normal 2 2 3 5 2 2_60bb M" xfId="1373"/>
    <cellStyle name="Normal 2 2 3 5 2 3" xfId="571"/>
    <cellStyle name="Normal 2 2 3 5 2 3 2" xfId="572"/>
    <cellStyle name="Normal 2 2 3 5 2 3_60bb M" xfId="1374"/>
    <cellStyle name="Normal 2 2 3 5 2 4" xfId="573"/>
    <cellStyle name="Normal 2 2 3 5 2 4 2" xfId="574"/>
    <cellStyle name="Normal 2 2 3 5 2 4_60bb M" xfId="1375"/>
    <cellStyle name="Normal 2 2 3 5 2 5" xfId="575"/>
    <cellStyle name="Normal 2 2 3 5 2_4x200 M" xfId="576"/>
    <cellStyle name="Normal 2 2 3 5 3" xfId="577"/>
    <cellStyle name="Normal 2 2 3 5 3 2" xfId="578"/>
    <cellStyle name="Normal 2 2 3 5 3 2 2" xfId="579"/>
    <cellStyle name="Normal 2 2 3 5 3 2_60bb M" xfId="1376"/>
    <cellStyle name="Normal 2 2 3 5 3 3" xfId="580"/>
    <cellStyle name="Normal 2 2 3 5 3 3 2" xfId="581"/>
    <cellStyle name="Normal 2 2 3 5 3 3_60bb M" xfId="1377"/>
    <cellStyle name="Normal 2 2 3 5 3 4" xfId="582"/>
    <cellStyle name="Normal 2 2 3 5 3 4 2" xfId="583"/>
    <cellStyle name="Normal 2 2 3 5 3 4_60bb M" xfId="1378"/>
    <cellStyle name="Normal 2 2 3 5 3 5" xfId="584"/>
    <cellStyle name="Normal 2 2 3 5 3_4x200 M" xfId="585"/>
    <cellStyle name="Normal 2 2 3 5 4" xfId="586"/>
    <cellStyle name="Normal 2 2 3 5 4 2" xfId="587"/>
    <cellStyle name="Normal 2 2 3 5 4 2 2" xfId="588"/>
    <cellStyle name="Normal 2 2 3 5 4 2_60bb M" xfId="1379"/>
    <cellStyle name="Normal 2 2 3 5 4 3" xfId="589"/>
    <cellStyle name="Normal 2 2 3 5 4 3 2" xfId="590"/>
    <cellStyle name="Normal 2 2 3 5 4 3_60bb M" xfId="1380"/>
    <cellStyle name="Normal 2 2 3 5 4 4" xfId="591"/>
    <cellStyle name="Normal 2 2 3 5 4 4 2" xfId="592"/>
    <cellStyle name="Normal 2 2 3 5 4 4_60bb M" xfId="1381"/>
    <cellStyle name="Normal 2 2 3 5 4 5" xfId="593"/>
    <cellStyle name="Normal 2 2 3 5 4_4x200 M" xfId="594"/>
    <cellStyle name="Normal 2 2 3 5 5" xfId="595"/>
    <cellStyle name="Normal 2 2 3 5 5 2" xfId="596"/>
    <cellStyle name="Normal 2 2 3 5 5 2 2" xfId="597"/>
    <cellStyle name="Normal 2 2 3 5 5 2_60bb M" xfId="1382"/>
    <cellStyle name="Normal 2 2 3 5 5 3" xfId="598"/>
    <cellStyle name="Normal 2 2 3 5 5 3 2" xfId="599"/>
    <cellStyle name="Normal 2 2 3 5 5 3_60bb M" xfId="1383"/>
    <cellStyle name="Normal 2 2 3 5 5 4" xfId="600"/>
    <cellStyle name="Normal 2 2 3 5 5 4 2" xfId="601"/>
    <cellStyle name="Normal 2 2 3 5 5 4_60bb M" xfId="1384"/>
    <cellStyle name="Normal 2 2 3 5 5 5" xfId="602"/>
    <cellStyle name="Normal 2 2 3 5 5_4x200 M" xfId="603"/>
    <cellStyle name="Normal 2 2 3 5 6" xfId="604"/>
    <cellStyle name="Normal 2 2 3 5 6 2" xfId="605"/>
    <cellStyle name="Normal 2 2 3 5 6_60bb M" xfId="1385"/>
    <cellStyle name="Normal 2 2 3 5 7" xfId="606"/>
    <cellStyle name="Normal 2 2 3 5 7 2" xfId="607"/>
    <cellStyle name="Normal 2 2 3 5 7_60bb M" xfId="1386"/>
    <cellStyle name="Normal 2 2 3 5 8" xfId="608"/>
    <cellStyle name="Normal 2 2 3 5 8 2" xfId="609"/>
    <cellStyle name="Normal 2 2 3 5 8_60bb M" xfId="1387"/>
    <cellStyle name="Normal 2 2 3 5 9" xfId="610"/>
    <cellStyle name="Normal 2 2 3 5_4x200 M" xfId="611"/>
    <cellStyle name="Normal 2 2 3 6" xfId="612"/>
    <cellStyle name="Normal 2 2 3 6 10" xfId="613"/>
    <cellStyle name="Normal 2 2 3 6 10 2" xfId="614"/>
    <cellStyle name="Normal 2 2 3 6 10_60bb M" xfId="1388"/>
    <cellStyle name="Normal 2 2 3 6 11" xfId="615"/>
    <cellStyle name="Normal 2 2 3 6 11 2" xfId="616"/>
    <cellStyle name="Normal 2 2 3 6 11_60bb M" xfId="1389"/>
    <cellStyle name="Normal 2 2 3 6 12" xfId="617"/>
    <cellStyle name="Normal 2 2 3 6 12 2" xfId="618"/>
    <cellStyle name="Normal 2 2 3 6 12_60bb M" xfId="1390"/>
    <cellStyle name="Normal 2 2 3 6 13" xfId="619"/>
    <cellStyle name="Normal 2 2 3 6 2" xfId="620"/>
    <cellStyle name="Normal 2 2 3 6 2 2" xfId="621"/>
    <cellStyle name="Normal 2 2 3 6 2 2 2" xfId="622"/>
    <cellStyle name="Normal 2 2 3 6 2 2_60bb M" xfId="1391"/>
    <cellStyle name="Normal 2 2 3 6 2 3" xfId="623"/>
    <cellStyle name="Normal 2 2 3 6 2_4x200 M" xfId="624"/>
    <cellStyle name="Normal 2 2 3 6 3" xfId="625"/>
    <cellStyle name="Normal 2 2 3 6 3 2" xfId="626"/>
    <cellStyle name="Normal 2 2 3 6 3 2 2" xfId="627"/>
    <cellStyle name="Normal 2 2 3 6 3 2_60bb M" xfId="1392"/>
    <cellStyle name="Normal 2 2 3 6 3 3" xfId="628"/>
    <cellStyle name="Normal 2 2 3 6 3_4x200 M" xfId="629"/>
    <cellStyle name="Normal 2 2 3 6 4" xfId="630"/>
    <cellStyle name="Normal 2 2 3 6 4 2" xfId="631"/>
    <cellStyle name="Normal 2 2 3 6 4_60bb M" xfId="1393"/>
    <cellStyle name="Normal 2 2 3 6 5" xfId="632"/>
    <cellStyle name="Normal 2 2 3 6 5 2" xfId="633"/>
    <cellStyle name="Normal 2 2 3 6 5_60bb M" xfId="1394"/>
    <cellStyle name="Normal 2 2 3 6 6" xfId="634"/>
    <cellStyle name="Normal 2 2 3 6 6 2" xfId="635"/>
    <cellStyle name="Normal 2 2 3 6 6_60bb M" xfId="1395"/>
    <cellStyle name="Normal 2 2 3 6 7" xfId="636"/>
    <cellStyle name="Normal 2 2 3 6 7 2" xfId="637"/>
    <cellStyle name="Normal 2 2 3 6 7_60bb M" xfId="1396"/>
    <cellStyle name="Normal 2 2 3 6 8" xfId="638"/>
    <cellStyle name="Normal 2 2 3 6 8 2" xfId="639"/>
    <cellStyle name="Normal 2 2 3 6 8_60bb M" xfId="1397"/>
    <cellStyle name="Normal 2 2 3 6 9" xfId="640"/>
    <cellStyle name="Normal 2 2 3 6 9 2" xfId="641"/>
    <cellStyle name="Normal 2 2 3 6 9_60bb M" xfId="1398"/>
    <cellStyle name="Normal 2 2 3 6_4x200 M" xfId="642"/>
    <cellStyle name="Normal 2 2 3 7" xfId="643"/>
    <cellStyle name="Normal 2 2 3 7 2" xfId="644"/>
    <cellStyle name="Normal 2 2 3 7_60bb M" xfId="1399"/>
    <cellStyle name="Normal 2 2 3 8" xfId="645"/>
    <cellStyle name="Normal 2 2 3 8 2" xfId="646"/>
    <cellStyle name="Normal 2 2 3 8_60bb M" xfId="1400"/>
    <cellStyle name="Normal 2 2 3 9" xfId="647"/>
    <cellStyle name="Normal 2 2 3 9 2" xfId="648"/>
    <cellStyle name="Normal 2 2 3 9_60bb M" xfId="1401"/>
    <cellStyle name="Normal 2 2 3_4x200 M" xfId="649"/>
    <cellStyle name="Normal 2 2 4" xfId="650"/>
    <cellStyle name="Normal 2 2 4 2" xfId="651"/>
    <cellStyle name="Normal 2 2 4 2 2" xfId="652"/>
    <cellStyle name="Normal 2 2 4 2 2 2" xfId="653"/>
    <cellStyle name="Normal 2 2 4 2 2_60bb M" xfId="1402"/>
    <cellStyle name="Normal 2 2 4 2 3" xfId="654"/>
    <cellStyle name="Normal 2 2 4 2 3 2" xfId="655"/>
    <cellStyle name="Normal 2 2 4 2 3_60bb M" xfId="1403"/>
    <cellStyle name="Normal 2 2 4 2 4" xfId="656"/>
    <cellStyle name="Normal 2 2 4 2 4 2" xfId="657"/>
    <cellStyle name="Normal 2 2 4 2 4_60bb M" xfId="1404"/>
    <cellStyle name="Normal 2 2 4 2 5" xfId="658"/>
    <cellStyle name="Normal 2 2 4 2_4x200 M" xfId="659"/>
    <cellStyle name="Normal 2 2 4 3" xfId="660"/>
    <cellStyle name="Normal 2 2 4 3 2" xfId="661"/>
    <cellStyle name="Normal 2 2 4 3_60bb M" xfId="1405"/>
    <cellStyle name="Normal 2 2 4 4" xfId="662"/>
    <cellStyle name="Normal 2 2 4 4 2" xfId="663"/>
    <cellStyle name="Normal 2 2 4 4_60bb M" xfId="1406"/>
    <cellStyle name="Normal 2 2 4 5" xfId="664"/>
    <cellStyle name="Normal 2 2 4 5 2" xfId="665"/>
    <cellStyle name="Normal 2 2 4 5_60bb M" xfId="1407"/>
    <cellStyle name="Normal 2 2 4 6" xfId="666"/>
    <cellStyle name="Normal 2 2 4_4x200 M" xfId="667"/>
    <cellStyle name="Normal 2 2 5" xfId="668"/>
    <cellStyle name="Normal 2 2 5 2" xfId="669"/>
    <cellStyle name="Normal 2 2 5 2 10" xfId="670"/>
    <cellStyle name="Normal 2 2 5 2 2" xfId="671"/>
    <cellStyle name="Normal 2 2 5 2 2 2" xfId="672"/>
    <cellStyle name="Normal 2 2 5 2 2 2 2" xfId="673"/>
    <cellStyle name="Normal 2 2 5 2 2 2_60bb M" xfId="1408"/>
    <cellStyle name="Normal 2 2 5 2 2 3" xfId="674"/>
    <cellStyle name="Normal 2 2 5 2 2 3 2" xfId="675"/>
    <cellStyle name="Normal 2 2 5 2 2 3_60bb M" xfId="1409"/>
    <cellStyle name="Normal 2 2 5 2 2 4" xfId="676"/>
    <cellStyle name="Normal 2 2 5 2 2 4 2" xfId="677"/>
    <cellStyle name="Normal 2 2 5 2 2 4_60bb M" xfId="1410"/>
    <cellStyle name="Normal 2 2 5 2 2 5" xfId="678"/>
    <cellStyle name="Normal 2 2 5 2 2_4x200 M" xfId="679"/>
    <cellStyle name="Normal 2 2 5 2 3" xfId="680"/>
    <cellStyle name="Normal 2 2 5 2 3 2" xfId="681"/>
    <cellStyle name="Normal 2 2 5 2 3 2 2" xfId="682"/>
    <cellStyle name="Normal 2 2 5 2 3 2_60bb M" xfId="1411"/>
    <cellStyle name="Normal 2 2 5 2 3 3" xfId="683"/>
    <cellStyle name="Normal 2 2 5 2 3 3 2" xfId="684"/>
    <cellStyle name="Normal 2 2 5 2 3 3_60bb M" xfId="1412"/>
    <cellStyle name="Normal 2 2 5 2 3 4" xfId="685"/>
    <cellStyle name="Normal 2 2 5 2 3 4 2" xfId="686"/>
    <cellStyle name="Normal 2 2 5 2 3 4_60bb M" xfId="1413"/>
    <cellStyle name="Normal 2 2 5 2 3 5" xfId="687"/>
    <cellStyle name="Normal 2 2 5 2 3_4x200 M" xfId="688"/>
    <cellStyle name="Normal 2 2 5 2 4" xfId="689"/>
    <cellStyle name="Normal 2 2 5 2 4 2" xfId="690"/>
    <cellStyle name="Normal 2 2 5 2 4_60bb M" xfId="1414"/>
    <cellStyle name="Normal 2 2 5 2 5" xfId="691"/>
    <cellStyle name="Normal 2 2 5 2 5 2" xfId="692"/>
    <cellStyle name="Normal 2 2 5 2 5_60bb M" xfId="1415"/>
    <cellStyle name="Normal 2 2 5 2 6" xfId="693"/>
    <cellStyle name="Normal 2 2 5 2 6 2" xfId="694"/>
    <cellStyle name="Normal 2 2 5 2 6_60bb M" xfId="1416"/>
    <cellStyle name="Normal 2 2 5 2 7" xfId="695"/>
    <cellStyle name="Normal 2 2 5 2 8" xfId="696"/>
    <cellStyle name="Normal 2 2 5 2 9" xfId="697"/>
    <cellStyle name="Normal 2 2 5 2_4x200 M" xfId="698"/>
    <cellStyle name="Normal 2 2 5 3" xfId="699"/>
    <cellStyle name="Normal 2 2 5 3 2" xfId="700"/>
    <cellStyle name="Normal 2 2 5 3_60bb M" xfId="1417"/>
    <cellStyle name="Normal 2 2 5 4" xfId="701"/>
    <cellStyle name="Normal 2 2 5 4 2" xfId="702"/>
    <cellStyle name="Normal 2 2 5 4_60bb M" xfId="1418"/>
    <cellStyle name="Normal 2 2 5 5" xfId="703"/>
    <cellStyle name="Normal 2 2 5 5 2" xfId="704"/>
    <cellStyle name="Normal 2 2 5 5_60bb M" xfId="1419"/>
    <cellStyle name="Normal 2 2 5 6" xfId="705"/>
    <cellStyle name="Normal 2 2 5_4x200 M" xfId="706"/>
    <cellStyle name="Normal 2 2 6" xfId="707"/>
    <cellStyle name="Normal 2 2 6 2" xfId="708"/>
    <cellStyle name="Normal 2 2 6 2 2" xfId="709"/>
    <cellStyle name="Normal 2 2 6 2_60bb M" xfId="1420"/>
    <cellStyle name="Normal 2 2 6 3" xfId="710"/>
    <cellStyle name="Normal 2 2 6 3 2" xfId="711"/>
    <cellStyle name="Normal 2 2 6 3_60bb M" xfId="1421"/>
    <cellStyle name="Normal 2 2 6 4" xfId="712"/>
    <cellStyle name="Normal 2 2 6 4 2" xfId="713"/>
    <cellStyle name="Normal 2 2 6 4_60bb M" xfId="1422"/>
    <cellStyle name="Normal 2 2 6 5" xfId="714"/>
    <cellStyle name="Normal 2 2 6_4x200 M" xfId="715"/>
    <cellStyle name="Normal 2 2 7" xfId="716"/>
    <cellStyle name="Normal 2 2 7 2" xfId="717"/>
    <cellStyle name="Normal 2 2 7 2 2" xfId="718"/>
    <cellStyle name="Normal 2 2 7 2_60bb M" xfId="1423"/>
    <cellStyle name="Normal 2 2 7 3" xfId="719"/>
    <cellStyle name="Normal 2 2 7 3 2" xfId="720"/>
    <cellStyle name="Normal 2 2 7 3_60bb M" xfId="1424"/>
    <cellStyle name="Normal 2 2 7 4" xfId="721"/>
    <cellStyle name="Normal 2 2 7 4 2" xfId="722"/>
    <cellStyle name="Normal 2 2 7 4_60bb M" xfId="1425"/>
    <cellStyle name="Normal 2 2 7 5" xfId="723"/>
    <cellStyle name="Normal 2 2 7_4x200 M" xfId="724"/>
    <cellStyle name="Normal 2 2 8" xfId="725"/>
    <cellStyle name="Normal 2 2 8 2" xfId="726"/>
    <cellStyle name="Normal 2 2 8 2 2" xfId="727"/>
    <cellStyle name="Normal 2 2 8 2_60bb M" xfId="1426"/>
    <cellStyle name="Normal 2 2 8 3" xfId="728"/>
    <cellStyle name="Normal 2 2 8 3 2" xfId="729"/>
    <cellStyle name="Normal 2 2 8 3_60bb M" xfId="1427"/>
    <cellStyle name="Normal 2 2 8 4" xfId="730"/>
    <cellStyle name="Normal 2 2 8 4 2" xfId="731"/>
    <cellStyle name="Normal 2 2 8 4_60bb M" xfId="1428"/>
    <cellStyle name="Normal 2 2 8 5" xfId="732"/>
    <cellStyle name="Normal 2 2 8_4x200 M" xfId="733"/>
    <cellStyle name="Normal 2 2 9" xfId="734"/>
    <cellStyle name="Normal 2 2 9 2" xfId="735"/>
    <cellStyle name="Normal 2 2 9_60bb M" xfId="1429"/>
    <cellStyle name="Normal 2 2_4x200 M" xfId="736"/>
    <cellStyle name="Normal 2 3" xfId="737"/>
    <cellStyle name="Normal 2 4" xfId="738"/>
    <cellStyle name="Normal 2 4 2" xfId="739"/>
    <cellStyle name="Normal 2 4 3" xfId="740"/>
    <cellStyle name="Normal 2 4 3 2" xfId="741"/>
    <cellStyle name="Normal 2 4 3 3" xfId="742"/>
    <cellStyle name="Normal 2 4 3 4" xfId="743"/>
    <cellStyle name="Normal 2 4 3_4x200 V" xfId="744"/>
    <cellStyle name="Normal 2 4_4x200 V" xfId="745"/>
    <cellStyle name="Normal 2 5" xfId="746"/>
    <cellStyle name="Normal 2 6" xfId="747"/>
    <cellStyle name="Normal 2 7" xfId="748"/>
    <cellStyle name="Normal 2 7 2" xfId="749"/>
    <cellStyle name="Normal 2 7 3" xfId="750"/>
    <cellStyle name="Normal 2 7 4" xfId="751"/>
    <cellStyle name="Normal 2 7_DALYVIAI" xfId="752"/>
    <cellStyle name="Normal 2 8" xfId="753"/>
    <cellStyle name="Normal 2 9" xfId="754"/>
    <cellStyle name="Normal 2_4x200 V" xfId="755"/>
    <cellStyle name="Normal 20" xfId="756"/>
    <cellStyle name="Normal 20 2" xfId="757"/>
    <cellStyle name="Normal 20 2 2" xfId="758"/>
    <cellStyle name="Normal 20 2 2 2" xfId="759"/>
    <cellStyle name="Normal 20 2 2 3" xfId="760"/>
    <cellStyle name="Normal 20 2 2 4" xfId="761"/>
    <cellStyle name="Normal 20 2 2 5" xfId="762"/>
    <cellStyle name="Normal 20 2 2_4x200 M" xfId="763"/>
    <cellStyle name="Normal 20 2 3" xfId="764"/>
    <cellStyle name="Normal 20 2 4" xfId="765"/>
    <cellStyle name="Normal 20 2 4 2" xfId="766"/>
    <cellStyle name="Normal 20 2 4_60bb M" xfId="1430"/>
    <cellStyle name="Normal 20 2 5" xfId="767"/>
    <cellStyle name="Normal 20 2 5 2" xfId="768"/>
    <cellStyle name="Normal 20 2 5_60bb M" xfId="1431"/>
    <cellStyle name="Normal 20 2_DALYVIAI" xfId="769"/>
    <cellStyle name="Normal 20 3" xfId="770"/>
    <cellStyle name="Normal 20 3 2" xfId="771"/>
    <cellStyle name="Normal 20 3 2 2" xfId="772"/>
    <cellStyle name="Normal 20 3 2_60bb M" xfId="1432"/>
    <cellStyle name="Normal 20 3 3" xfId="773"/>
    <cellStyle name="Normal 20 3 3 2" xfId="774"/>
    <cellStyle name="Normal 20 3 3_60bb M" xfId="1433"/>
    <cellStyle name="Normal 20 3 4" xfId="775"/>
    <cellStyle name="Normal 20 3 4 2" xfId="776"/>
    <cellStyle name="Normal 20 3 4_60bb M" xfId="1434"/>
    <cellStyle name="Normal 20 3_DALYVIAI" xfId="777"/>
    <cellStyle name="Normal 20 4" xfId="778"/>
    <cellStyle name="Normal 20 5" xfId="779"/>
    <cellStyle name="Normal 20 6" xfId="780"/>
    <cellStyle name="Normal 20_4x200 M" xfId="781"/>
    <cellStyle name="Normal 21" xfId="782"/>
    <cellStyle name="Normal 21 2" xfId="783"/>
    <cellStyle name="Normal 21 2 2" xfId="784"/>
    <cellStyle name="Normal 21 2 2 2" xfId="785"/>
    <cellStyle name="Normal 21 2 2 3" xfId="786"/>
    <cellStyle name="Normal 21 2 2 4" xfId="787"/>
    <cellStyle name="Normal 21 2 2_4x200 V" xfId="788"/>
    <cellStyle name="Normal 21 2 3" xfId="789"/>
    <cellStyle name="Normal 21 2 4" xfId="790"/>
    <cellStyle name="Normal 21 2 5" xfId="791"/>
    <cellStyle name="Normal 21 2_DALYVIAI" xfId="792"/>
    <cellStyle name="Normal 21 3" xfId="793"/>
    <cellStyle name="Normal 21 3 2" xfId="794"/>
    <cellStyle name="Normal 21 3 3" xfId="795"/>
    <cellStyle name="Normal 21 3 4" xfId="796"/>
    <cellStyle name="Normal 21 3_DALYVIAI" xfId="797"/>
    <cellStyle name="Normal 21 4" xfId="798"/>
    <cellStyle name="Normal 21 5" xfId="799"/>
    <cellStyle name="Normal 21_4x200 V" xfId="800"/>
    <cellStyle name="Normal 22" xfId="801"/>
    <cellStyle name="Normal 22 2" xfId="802"/>
    <cellStyle name="Normal 22 2 2" xfId="803"/>
    <cellStyle name="Normal 22 2 2 2" xfId="804"/>
    <cellStyle name="Normal 22 2 2 3" xfId="805"/>
    <cellStyle name="Normal 22 2 2 4" xfId="806"/>
    <cellStyle name="Normal 22 2 2 5" xfId="807"/>
    <cellStyle name="Normal 22 2 2_4x200 M" xfId="808"/>
    <cellStyle name="Normal 22 2 3" xfId="809"/>
    <cellStyle name="Normal 22 2 4" xfId="810"/>
    <cellStyle name="Normal 22 2 4 2" xfId="811"/>
    <cellStyle name="Normal 22 2 4_60bb M" xfId="1435"/>
    <cellStyle name="Normal 22 2 5" xfId="812"/>
    <cellStyle name="Normal 22 2 5 2" xfId="813"/>
    <cellStyle name="Normal 22 2 5_60bb M" xfId="1436"/>
    <cellStyle name="Normal 22 2_DALYVIAI" xfId="814"/>
    <cellStyle name="Normal 22 3" xfId="815"/>
    <cellStyle name="Normal 22 3 2" xfId="816"/>
    <cellStyle name="Normal 22 3 2 2" xfId="817"/>
    <cellStyle name="Normal 22 3 2_60bb M" xfId="1437"/>
    <cellStyle name="Normal 22 3 3" xfId="818"/>
    <cellStyle name="Normal 22 3 3 2" xfId="819"/>
    <cellStyle name="Normal 22 3 3_60bb M" xfId="1438"/>
    <cellStyle name="Normal 22 3 4" xfId="820"/>
    <cellStyle name="Normal 22 3 4 2" xfId="821"/>
    <cellStyle name="Normal 22 3 4_60bb M" xfId="1439"/>
    <cellStyle name="Normal 22 3_DALYVIAI" xfId="822"/>
    <cellStyle name="Normal 22 4" xfId="823"/>
    <cellStyle name="Normal 22 5" xfId="824"/>
    <cellStyle name="Normal 22 6" xfId="825"/>
    <cellStyle name="Normal 22_4x200 M" xfId="826"/>
    <cellStyle name="Normal 23" xfId="827"/>
    <cellStyle name="Normal 23 2" xfId="828"/>
    <cellStyle name="Normal 23 3" xfId="829"/>
    <cellStyle name="Normal 24" xfId="830"/>
    <cellStyle name="Normal 24 2" xfId="831"/>
    <cellStyle name="Normal 24 3" xfId="832"/>
    <cellStyle name="Normal 24 4" xfId="833"/>
    <cellStyle name="Normal 24 5" xfId="834"/>
    <cellStyle name="Normal 24_DALYVIAI" xfId="835"/>
    <cellStyle name="Normal 25" xfId="836"/>
    <cellStyle name="Normal 25 2" xfId="837"/>
    <cellStyle name="Normal 25 2 2" xfId="838"/>
    <cellStyle name="Normal 25 2_60bb M" xfId="1440"/>
    <cellStyle name="Normal 25 3" xfId="839"/>
    <cellStyle name="Normal 25 3 2" xfId="840"/>
    <cellStyle name="Normal 25 3_60bb M" xfId="1441"/>
    <cellStyle name="Normal 25 4" xfId="841"/>
    <cellStyle name="Normal 25_4x200 M" xfId="842"/>
    <cellStyle name="Normal 26" xfId="843"/>
    <cellStyle name="Normal 26 2" xfId="844"/>
    <cellStyle name="Normal 26 3" xfId="845"/>
    <cellStyle name="Normal 26 4" xfId="846"/>
    <cellStyle name="Normal 26_DALYVIAI" xfId="847"/>
    <cellStyle name="Normal 27" xfId="848"/>
    <cellStyle name="Normal 28" xfId="849"/>
    <cellStyle name="Normal 29" xfId="850"/>
    <cellStyle name="Normal 3" xfId="851"/>
    <cellStyle name="Normal 3 10" xfId="852"/>
    <cellStyle name="Normal 3 11" xfId="853"/>
    <cellStyle name="Normal 3 12" xfId="854"/>
    <cellStyle name="Normal 3 12 2" xfId="855"/>
    <cellStyle name="Normal 3 12 3" xfId="856"/>
    <cellStyle name="Normal 3 12 4" xfId="857"/>
    <cellStyle name="Normal 3 12_DALYVIAI" xfId="858"/>
    <cellStyle name="Normal 3 13" xfId="859"/>
    <cellStyle name="Normal 3 14" xfId="860"/>
    <cellStyle name="Normal 3 15" xfId="1442"/>
    <cellStyle name="Normal 3 2" xfId="861"/>
    <cellStyle name="Normal 3 3" xfId="862"/>
    <cellStyle name="Normal 3 3 2" xfId="863"/>
    <cellStyle name="Normal 3 3 3" xfId="864"/>
    <cellStyle name="Normal 3 3_4x200 V" xfId="865"/>
    <cellStyle name="Normal 3 4" xfId="866"/>
    <cellStyle name="Normal 3 4 2" xfId="867"/>
    <cellStyle name="Normal 3 4 3" xfId="868"/>
    <cellStyle name="Normal 3 4_4x200 V" xfId="869"/>
    <cellStyle name="Normal 3 5" xfId="870"/>
    <cellStyle name="Normal 3 5 2" xfId="871"/>
    <cellStyle name="Normal 3 5_4x200 V" xfId="872"/>
    <cellStyle name="Normal 3 6" xfId="873"/>
    <cellStyle name="Normal 3 7" xfId="874"/>
    <cellStyle name="Normal 3 8" xfId="875"/>
    <cellStyle name="Normal 3 8 2" xfId="876"/>
    <cellStyle name="Normal 3 8_4x200 V" xfId="877"/>
    <cellStyle name="Normal 3 9" xfId="878"/>
    <cellStyle name="Normal 3 9 2" xfId="879"/>
    <cellStyle name="Normal 3 9_4x200 V" xfId="880"/>
    <cellStyle name="Normal 3_100 M" xfId="1443"/>
    <cellStyle name="Normal 30" xfId="881"/>
    <cellStyle name="Normal 31" xfId="882"/>
    <cellStyle name="Normal 32" xfId="883"/>
    <cellStyle name="Normal 32 2" xfId="1444"/>
    <cellStyle name="Normal 32 2 2" xfId="1445"/>
    <cellStyle name="Normal 32 3" xfId="1446"/>
    <cellStyle name="Normal 32 3 2" xfId="1447"/>
    <cellStyle name="Normal 32 4" xfId="1448"/>
    <cellStyle name="Normal 32 5" xfId="1568"/>
    <cellStyle name="Normal 32_3000 M" xfId="1449"/>
    <cellStyle name="Normal 33" xfId="1450"/>
    <cellStyle name="Normal 33 2" xfId="1451"/>
    <cellStyle name="Normal 34" xfId="1452"/>
    <cellStyle name="Normal 35" xfId="1453"/>
    <cellStyle name="Normal 35 2" xfId="1454"/>
    <cellStyle name="Normal 35 2 2" xfId="1455"/>
    <cellStyle name="Normal 36" xfId="1456"/>
    <cellStyle name="Normal 37" xfId="1457"/>
    <cellStyle name="Normal 38" xfId="1458"/>
    <cellStyle name="Normal 4" xfId="884"/>
    <cellStyle name="Normal 4 10" xfId="885"/>
    <cellStyle name="Normal 4 11" xfId="886"/>
    <cellStyle name="Normal 4 11 2" xfId="887"/>
    <cellStyle name="Normal 4 11 2 2" xfId="888"/>
    <cellStyle name="Normal 4 11 2_60bb M" xfId="1459"/>
    <cellStyle name="Normal 4 11 3" xfId="889"/>
    <cellStyle name="Normal 4 11 3 2" xfId="890"/>
    <cellStyle name="Normal 4 11 3_60bb M" xfId="1460"/>
    <cellStyle name="Normal 4 11 4" xfId="891"/>
    <cellStyle name="Normal 4 11 4 2" xfId="892"/>
    <cellStyle name="Normal 4 11 4_60bb M" xfId="1461"/>
    <cellStyle name="Normal 4 11_DALYVIAI" xfId="893"/>
    <cellStyle name="Normal 4 12" xfId="894"/>
    <cellStyle name="Normal 4 13" xfId="895"/>
    <cellStyle name="Normal 4 14" xfId="896"/>
    <cellStyle name="Normal 4 15" xfId="1462"/>
    <cellStyle name="Normal 4 2" xfId="897"/>
    <cellStyle name="Normal 4 2 10" xfId="898"/>
    <cellStyle name="Normal 4 2 2" xfId="899"/>
    <cellStyle name="Normal 4 2 2 2" xfId="900"/>
    <cellStyle name="Normal 4 2 2 2 2" xfId="901"/>
    <cellStyle name="Normal 4 2 2 2_60bb M" xfId="1463"/>
    <cellStyle name="Normal 4 2 2 3" xfId="902"/>
    <cellStyle name="Normal 4 2 2 3 2" xfId="903"/>
    <cellStyle name="Normal 4 2 2 3_60bb M" xfId="1464"/>
    <cellStyle name="Normal 4 2 2 4" xfId="904"/>
    <cellStyle name="Normal 4 2 2 4 2" xfId="905"/>
    <cellStyle name="Normal 4 2 2 4_60bb M" xfId="1465"/>
    <cellStyle name="Normal 4 2 2 5" xfId="906"/>
    <cellStyle name="Normal 4 2 2_4x200 M" xfId="907"/>
    <cellStyle name="Normal 4 2 3" xfId="908"/>
    <cellStyle name="Normal 4 2 3 2" xfId="909"/>
    <cellStyle name="Normal 4 2 3 2 2" xfId="910"/>
    <cellStyle name="Normal 4 2 3 2_60bb M" xfId="1466"/>
    <cellStyle name="Normal 4 2 3 3" xfId="911"/>
    <cellStyle name="Normal 4 2 3 3 2" xfId="912"/>
    <cellStyle name="Normal 4 2 3 3_60bb M" xfId="1467"/>
    <cellStyle name="Normal 4 2 3 4" xfId="913"/>
    <cellStyle name="Normal 4 2 3 4 2" xfId="914"/>
    <cellStyle name="Normal 4 2 3 4_60bb M" xfId="1468"/>
    <cellStyle name="Normal 4 2 3 5" xfId="915"/>
    <cellStyle name="Normal 4 2 3_4x200 M" xfId="916"/>
    <cellStyle name="Normal 4 2 4" xfId="917"/>
    <cellStyle name="Normal 4 2 4 2" xfId="918"/>
    <cellStyle name="Normal 4 2 4_60bb M" xfId="1469"/>
    <cellStyle name="Normal 4 2 5" xfId="919"/>
    <cellStyle name="Normal 4 2 5 2" xfId="920"/>
    <cellStyle name="Normal 4 2 5_60bb M" xfId="1470"/>
    <cellStyle name="Normal 4 2 6" xfId="921"/>
    <cellStyle name="Normal 4 2 6 2" xfId="922"/>
    <cellStyle name="Normal 4 2 6_60bb M" xfId="1471"/>
    <cellStyle name="Normal 4 2 7" xfId="923"/>
    <cellStyle name="Normal 4 2 8" xfId="924"/>
    <cellStyle name="Normal 4 2 9" xfId="925"/>
    <cellStyle name="Normal 4 2_4x200 M" xfId="926"/>
    <cellStyle name="Normal 4 3" xfId="927"/>
    <cellStyle name="Normal 4 3 2" xfId="928"/>
    <cellStyle name="Normal 4 3 2 2" xfId="929"/>
    <cellStyle name="Normal 4 3 2_60bb M" xfId="1472"/>
    <cellStyle name="Normal 4 3 3" xfId="930"/>
    <cellStyle name="Normal 4 3 3 2" xfId="931"/>
    <cellStyle name="Normal 4 3 3_60bb M" xfId="1473"/>
    <cellStyle name="Normal 4 3 4" xfId="932"/>
    <cellStyle name="Normal 4 3 4 2" xfId="933"/>
    <cellStyle name="Normal 4 3 4_60bb M" xfId="1474"/>
    <cellStyle name="Normal 4 3 5" xfId="934"/>
    <cellStyle name="Normal 4 3_4x200 M" xfId="935"/>
    <cellStyle name="Normal 4 4" xfId="936"/>
    <cellStyle name="Normal 4 4 2" xfId="937"/>
    <cellStyle name="Normal 4 4 2 2" xfId="938"/>
    <cellStyle name="Normal 4 4 2_60bb M" xfId="1475"/>
    <cellStyle name="Normal 4 4 3" xfId="939"/>
    <cellStyle name="Normal 4 4 3 2" xfId="940"/>
    <cellStyle name="Normal 4 4 3_60bb M" xfId="1476"/>
    <cellStyle name="Normal 4 4 4" xfId="941"/>
    <cellStyle name="Normal 4 4 4 2" xfId="942"/>
    <cellStyle name="Normal 4 4 4_60bb M" xfId="1477"/>
    <cellStyle name="Normal 4 4 5" xfId="943"/>
    <cellStyle name="Normal 4 4_4x200 M" xfId="944"/>
    <cellStyle name="Normal 4 5" xfId="945"/>
    <cellStyle name="Normal 4 5 2" xfId="946"/>
    <cellStyle name="Normal 4 5 2 2" xfId="947"/>
    <cellStyle name="Normal 4 5 2_60bb M" xfId="1478"/>
    <cellStyle name="Normal 4 5 3" xfId="948"/>
    <cellStyle name="Normal 4 5 3 2" xfId="949"/>
    <cellStyle name="Normal 4 5 3_60bb M" xfId="1479"/>
    <cellStyle name="Normal 4 5 4" xfId="950"/>
    <cellStyle name="Normal 4 5 4 2" xfId="951"/>
    <cellStyle name="Normal 4 5 4_60bb M" xfId="1480"/>
    <cellStyle name="Normal 4 5 5" xfId="952"/>
    <cellStyle name="Normal 4 5_4x200 M" xfId="953"/>
    <cellStyle name="Normal 4 6" xfId="954"/>
    <cellStyle name="Normal 4 6 2" xfId="955"/>
    <cellStyle name="Normal 4 6 2 2" xfId="956"/>
    <cellStyle name="Normal 4 6 2_60bb M" xfId="1481"/>
    <cellStyle name="Normal 4 6 3" xfId="957"/>
    <cellStyle name="Normal 4 6 3 2" xfId="958"/>
    <cellStyle name="Normal 4 6 3_60bb M" xfId="1482"/>
    <cellStyle name="Normal 4 6 4" xfId="959"/>
    <cellStyle name="Normal 4 6 4 2" xfId="960"/>
    <cellStyle name="Normal 4 6 4_60bb M" xfId="1483"/>
    <cellStyle name="Normal 4 6 5" xfId="961"/>
    <cellStyle name="Normal 4 6_4x200 M" xfId="962"/>
    <cellStyle name="Normal 4 7" xfId="963"/>
    <cellStyle name="Normal 4 7 2" xfId="964"/>
    <cellStyle name="Normal 4 7 2 2" xfId="965"/>
    <cellStyle name="Normal 4 7 2_60bb M" xfId="1484"/>
    <cellStyle name="Normal 4 7 3" xfId="966"/>
    <cellStyle name="Normal 4 7 3 2" xfId="967"/>
    <cellStyle name="Normal 4 7 3_60bb M" xfId="1485"/>
    <cellStyle name="Normal 4 7 4" xfId="968"/>
    <cellStyle name="Normal 4 7 4 2" xfId="969"/>
    <cellStyle name="Normal 4 7 4_60bb M" xfId="1486"/>
    <cellStyle name="Normal 4 7 5" xfId="970"/>
    <cellStyle name="Normal 4 7_4x200 M" xfId="971"/>
    <cellStyle name="Normal 4 8" xfId="972"/>
    <cellStyle name="Normal 4 8 2" xfId="973"/>
    <cellStyle name="Normal 4 8 2 2" xfId="974"/>
    <cellStyle name="Normal 4 8 2_60bb M" xfId="1487"/>
    <cellStyle name="Normal 4 8 3" xfId="975"/>
    <cellStyle name="Normal 4 8 3 2" xfId="976"/>
    <cellStyle name="Normal 4 8 3_60bb M" xfId="1488"/>
    <cellStyle name="Normal 4 8 4" xfId="977"/>
    <cellStyle name="Normal 4 8 4 2" xfId="978"/>
    <cellStyle name="Normal 4 8 4_60bb M" xfId="1489"/>
    <cellStyle name="Normal 4 8 5" xfId="979"/>
    <cellStyle name="Normal 4 8_4x200 M" xfId="980"/>
    <cellStyle name="Normal 4 9" xfId="981"/>
    <cellStyle name="Normal 4 9 10" xfId="982"/>
    <cellStyle name="Normal 4 9 2" xfId="983"/>
    <cellStyle name="Normal 4 9 2 2" xfId="984"/>
    <cellStyle name="Normal 4 9 2 2 2" xfId="985"/>
    <cellStyle name="Normal 4 9 2 2_60bb M" xfId="1490"/>
    <cellStyle name="Normal 4 9 2 3" xfId="986"/>
    <cellStyle name="Normal 4 9 2 3 2" xfId="987"/>
    <cellStyle name="Normal 4 9 2 3_60bb M" xfId="1491"/>
    <cellStyle name="Normal 4 9 2 4" xfId="988"/>
    <cellStyle name="Normal 4 9 2 4 2" xfId="989"/>
    <cellStyle name="Normal 4 9 2 4_60bb M" xfId="1492"/>
    <cellStyle name="Normal 4 9 2 5" xfId="990"/>
    <cellStyle name="Normal 4 9 2_4x200 M" xfId="991"/>
    <cellStyle name="Normal 4 9 3" xfId="992"/>
    <cellStyle name="Normal 4 9 3 2" xfId="993"/>
    <cellStyle name="Normal 4 9 3 2 2" xfId="994"/>
    <cellStyle name="Normal 4 9 3 2_60bb M" xfId="1493"/>
    <cellStyle name="Normal 4 9 3 3" xfId="995"/>
    <cellStyle name="Normal 4 9 3 3 2" xfId="996"/>
    <cellStyle name="Normal 4 9 3 3_60bb M" xfId="1494"/>
    <cellStyle name="Normal 4 9 3 4" xfId="997"/>
    <cellStyle name="Normal 4 9 3 4 2" xfId="998"/>
    <cellStyle name="Normal 4 9 3 4_60bb M" xfId="1495"/>
    <cellStyle name="Normal 4 9 3 5" xfId="999"/>
    <cellStyle name="Normal 4 9 3_4x200 M" xfId="1000"/>
    <cellStyle name="Normal 4 9 4" xfId="1001"/>
    <cellStyle name="Normal 4 9 4 2" xfId="1002"/>
    <cellStyle name="Normal 4 9 4 2 2" xfId="1003"/>
    <cellStyle name="Normal 4 9 4 2_60bb M" xfId="1496"/>
    <cellStyle name="Normal 4 9 4 3" xfId="1004"/>
    <cellStyle name="Normal 4 9 4 3 2" xfId="1005"/>
    <cellStyle name="Normal 4 9 4 3_60bb M" xfId="1497"/>
    <cellStyle name="Normal 4 9 4 4" xfId="1006"/>
    <cellStyle name="Normal 4 9 4 4 2" xfId="1007"/>
    <cellStyle name="Normal 4 9 4 4_60bb M" xfId="1498"/>
    <cellStyle name="Normal 4 9 4 5" xfId="1008"/>
    <cellStyle name="Normal 4 9 4_4x200 M" xfId="1009"/>
    <cellStyle name="Normal 4 9 5" xfId="1010"/>
    <cellStyle name="Normal 4 9 5 2" xfId="1011"/>
    <cellStyle name="Normal 4 9 5 2 2" xfId="1012"/>
    <cellStyle name="Normal 4 9 5 2_60bb M" xfId="1499"/>
    <cellStyle name="Normal 4 9 5 3" xfId="1013"/>
    <cellStyle name="Normal 4 9 5 3 2" xfId="1014"/>
    <cellStyle name="Normal 4 9 5 3_60bb M" xfId="1500"/>
    <cellStyle name="Normal 4 9 5 4" xfId="1015"/>
    <cellStyle name="Normal 4 9 5 4 2" xfId="1016"/>
    <cellStyle name="Normal 4 9 5 4_60bb M" xfId="1501"/>
    <cellStyle name="Normal 4 9 5 5" xfId="1017"/>
    <cellStyle name="Normal 4 9 5_4x200 M" xfId="1018"/>
    <cellStyle name="Normal 4 9 6" xfId="1019"/>
    <cellStyle name="Normal 4 9 6 2" xfId="1020"/>
    <cellStyle name="Normal 4 9 6 2 2" xfId="1021"/>
    <cellStyle name="Normal 4 9 6 2_60bb M" xfId="1502"/>
    <cellStyle name="Normal 4 9 6 3" xfId="1022"/>
    <cellStyle name="Normal 4 9 6 3 2" xfId="1023"/>
    <cellStyle name="Normal 4 9 6 3_60bb M" xfId="1503"/>
    <cellStyle name="Normal 4 9 6 4" xfId="1024"/>
    <cellStyle name="Normal 4 9 6 4 2" xfId="1025"/>
    <cellStyle name="Normal 4 9 6 4_60bb M" xfId="1504"/>
    <cellStyle name="Normal 4 9 6 5" xfId="1026"/>
    <cellStyle name="Normal 4 9 6_4x200 M" xfId="1027"/>
    <cellStyle name="Normal 4 9 7" xfId="1028"/>
    <cellStyle name="Normal 4 9 7 2" xfId="1029"/>
    <cellStyle name="Normal 4 9 7_60bb M" xfId="1505"/>
    <cellStyle name="Normal 4 9 8" xfId="1030"/>
    <cellStyle name="Normal 4 9 8 2" xfId="1031"/>
    <cellStyle name="Normal 4 9 8_60bb M" xfId="1506"/>
    <cellStyle name="Normal 4 9 9" xfId="1032"/>
    <cellStyle name="Normal 4 9 9 2" xfId="1033"/>
    <cellStyle name="Normal 4 9 9_60bb M" xfId="1507"/>
    <cellStyle name="Normal 4 9_4x200 M" xfId="1034"/>
    <cellStyle name="Normal 4_100 M" xfId="1508"/>
    <cellStyle name="Normal 5" xfId="1035"/>
    <cellStyle name="Normal 5 2" xfId="1036"/>
    <cellStyle name="Normal 5 2 2" xfId="1037"/>
    <cellStyle name="Normal 5 2 2 2" xfId="1038"/>
    <cellStyle name="Normal 5 2 2 3" xfId="1039"/>
    <cellStyle name="Normal 5 2 2 4" xfId="1040"/>
    <cellStyle name="Normal 5 2 2 5" xfId="1041"/>
    <cellStyle name="Normal 5 2 2_4x200 M" xfId="1042"/>
    <cellStyle name="Normal 5 2 3" xfId="1043"/>
    <cellStyle name="Normal 5 2 4" xfId="1044"/>
    <cellStyle name="Normal 5 2 4 2" xfId="1045"/>
    <cellStyle name="Normal 5 2 4_60bb M" xfId="1509"/>
    <cellStyle name="Normal 5 2 5" xfId="1046"/>
    <cellStyle name="Normal 5 2 5 2" xfId="1047"/>
    <cellStyle name="Normal 5 2 5_60bb M" xfId="1510"/>
    <cellStyle name="Normal 5 2_DALYVIAI" xfId="1048"/>
    <cellStyle name="Normal 5 3" xfId="1049"/>
    <cellStyle name="Normal 5 3 2" xfId="1050"/>
    <cellStyle name="Normal 5 3 2 2" xfId="1051"/>
    <cellStyle name="Normal 5 3 2_60bb M" xfId="1511"/>
    <cellStyle name="Normal 5 3 3" xfId="1052"/>
    <cellStyle name="Normal 5 3 3 2" xfId="1053"/>
    <cellStyle name="Normal 5 3 3_60bb M" xfId="1512"/>
    <cellStyle name="Normal 5 3 4" xfId="1054"/>
    <cellStyle name="Normal 5 3 4 2" xfId="1055"/>
    <cellStyle name="Normal 5 3 4_60bb M" xfId="1513"/>
    <cellStyle name="Normal 5 3_DALYVIAI" xfId="1056"/>
    <cellStyle name="Normal 5 4" xfId="1057"/>
    <cellStyle name="Normal 5 5" xfId="1058"/>
    <cellStyle name="Normal 5 6" xfId="1059"/>
    <cellStyle name="Normal 5 7" xfId="1514"/>
    <cellStyle name="Normal 5_4x200 M" xfId="1060"/>
    <cellStyle name="Normal 6" xfId="1061"/>
    <cellStyle name="Normal 6 10" xfId="1515"/>
    <cellStyle name="Normal 6 2" xfId="1062"/>
    <cellStyle name="Normal 6 2 2" xfId="1063"/>
    <cellStyle name="Normal 6 2 2 2" xfId="1064"/>
    <cellStyle name="Normal 6 2 2_60bb M" xfId="1516"/>
    <cellStyle name="Normal 6 2 3" xfId="1065"/>
    <cellStyle name="Normal 6 2 3 2" xfId="1066"/>
    <cellStyle name="Normal 6 2 3_60bb M" xfId="1517"/>
    <cellStyle name="Normal 6 2 4" xfId="1067"/>
    <cellStyle name="Normal 6 2 4 2" xfId="1068"/>
    <cellStyle name="Normal 6 2 4_60bb M" xfId="1518"/>
    <cellStyle name="Normal 6 2 5" xfId="1069"/>
    <cellStyle name="Normal 6 2_4x200 M" xfId="1070"/>
    <cellStyle name="Normal 6 3" xfId="1071"/>
    <cellStyle name="Normal 6 3 2" xfId="1072"/>
    <cellStyle name="Normal 6 3 2 2" xfId="1073"/>
    <cellStyle name="Normal 6 3 2_60bb M" xfId="1519"/>
    <cellStyle name="Normal 6 3 3" xfId="1074"/>
    <cellStyle name="Normal 6 3 3 2" xfId="1075"/>
    <cellStyle name="Normal 6 3 3_60bb M" xfId="1520"/>
    <cellStyle name="Normal 6 3 4" xfId="1076"/>
    <cellStyle name="Normal 6 3 4 2" xfId="1077"/>
    <cellStyle name="Normal 6 3 4_60bb M" xfId="1521"/>
    <cellStyle name="Normal 6 3 5" xfId="1078"/>
    <cellStyle name="Normal 6 3_4x200 M" xfId="1079"/>
    <cellStyle name="Normal 6 4" xfId="1080"/>
    <cellStyle name="Normal 6 4 2" xfId="1081"/>
    <cellStyle name="Normal 6 4 2 2" xfId="1082"/>
    <cellStyle name="Normal 6 4 2_60bb M" xfId="1522"/>
    <cellStyle name="Normal 6 4 3" xfId="1083"/>
    <cellStyle name="Normal 6 4 3 2" xfId="1084"/>
    <cellStyle name="Normal 6 4 3_60bb M" xfId="1523"/>
    <cellStyle name="Normal 6 4 4" xfId="1085"/>
    <cellStyle name="Normal 6 4 4 2" xfId="1086"/>
    <cellStyle name="Normal 6 4 4_60bb M" xfId="1524"/>
    <cellStyle name="Normal 6 4 5" xfId="1087"/>
    <cellStyle name="Normal 6 4_4x200 M" xfId="1088"/>
    <cellStyle name="Normal 6 5" xfId="1089"/>
    <cellStyle name="Normal 6 6" xfId="1090"/>
    <cellStyle name="Normal 6 6 2" xfId="1091"/>
    <cellStyle name="Normal 6 6 2 2" xfId="1092"/>
    <cellStyle name="Normal 6 6 2_60bb M" xfId="1525"/>
    <cellStyle name="Normal 6 6 3" xfId="1093"/>
    <cellStyle name="Normal 6 6 3 2" xfId="1094"/>
    <cellStyle name="Normal 6 6 3_60bb M" xfId="1526"/>
    <cellStyle name="Normal 6 6 4" xfId="1095"/>
    <cellStyle name="Normal 6 6 4 2" xfId="1096"/>
    <cellStyle name="Normal 6 6 4_60bb M" xfId="1527"/>
    <cellStyle name="Normal 6 6_DALYVIAI" xfId="1097"/>
    <cellStyle name="Normal 6 7" xfId="1098"/>
    <cellStyle name="Normal 6 8" xfId="1099"/>
    <cellStyle name="Normal 6 9" xfId="1100"/>
    <cellStyle name="Normal 6_4x200 M" xfId="1101"/>
    <cellStyle name="Normal 7" xfId="1102"/>
    <cellStyle name="Normal 7 2" xfId="1103"/>
    <cellStyle name="Normal 7 2 2" xfId="1104"/>
    <cellStyle name="Normal 7 2 2 2" xfId="1105"/>
    <cellStyle name="Normal 7 2 2 2 2" xfId="1106"/>
    <cellStyle name="Normal 7 2 2 2_60bb M" xfId="1528"/>
    <cellStyle name="Normal 7 2 2 3" xfId="1107"/>
    <cellStyle name="Normal 7 2 2 3 2" xfId="1108"/>
    <cellStyle name="Normal 7 2 2 3_60bb M" xfId="1529"/>
    <cellStyle name="Normal 7 2 2 4" xfId="1109"/>
    <cellStyle name="Normal 7 2 2 4 2" xfId="1110"/>
    <cellStyle name="Normal 7 2 2 4_60bb M" xfId="1530"/>
    <cellStyle name="Normal 7 2 2_DALYVIAI" xfId="1111"/>
    <cellStyle name="Normal 7 2 3" xfId="1112"/>
    <cellStyle name="Normal 7 2 3 2" xfId="1113"/>
    <cellStyle name="Normal 7 2 3_60bb M" xfId="1531"/>
    <cellStyle name="Normal 7 2 4" xfId="1114"/>
    <cellStyle name="Normal 7 2 5" xfId="1115"/>
    <cellStyle name="Normal 7 2 6" xfId="1116"/>
    <cellStyle name="Normal 7 2_4x200 M" xfId="1117"/>
    <cellStyle name="Normal 7 3" xfId="1118"/>
    <cellStyle name="Normal 7 4" xfId="1119"/>
    <cellStyle name="Normal 7 5" xfId="1120"/>
    <cellStyle name="Normal 7 6" xfId="1121"/>
    <cellStyle name="Normal 7_4x100 M" xfId="1532"/>
    <cellStyle name="Normal 8" xfId="1122"/>
    <cellStyle name="Normal 8 2" xfId="1123"/>
    <cellStyle name="Normal 8 2 2" xfId="1124"/>
    <cellStyle name="Normal 8 2 2 2" xfId="1125"/>
    <cellStyle name="Normal 8 2 2 2 2" xfId="1126"/>
    <cellStyle name="Normal 8 2 2 2_60bb M" xfId="1533"/>
    <cellStyle name="Normal 8 2 2 3" xfId="1127"/>
    <cellStyle name="Normal 8 2 2 3 2" xfId="1128"/>
    <cellStyle name="Normal 8 2 2 3_60bb M" xfId="1534"/>
    <cellStyle name="Normal 8 2 2 4" xfId="1129"/>
    <cellStyle name="Normal 8 2 2 4 2" xfId="1130"/>
    <cellStyle name="Normal 8 2 2 4_60bb M" xfId="1535"/>
    <cellStyle name="Normal 8 2 2 5" xfId="1131"/>
    <cellStyle name="Normal 8 2 2_4x200 M" xfId="1132"/>
    <cellStyle name="Normal 8 2 3" xfId="1133"/>
    <cellStyle name="Normal 8 2 3 2" xfId="1134"/>
    <cellStyle name="Normal 8 2 3_60bb M" xfId="1536"/>
    <cellStyle name="Normal 8 2 4" xfId="1135"/>
    <cellStyle name="Normal 8 2 4 2" xfId="1136"/>
    <cellStyle name="Normal 8 2 4_60bb M" xfId="1537"/>
    <cellStyle name="Normal 8 2 5" xfId="1137"/>
    <cellStyle name="Normal 8 2 5 2" xfId="1138"/>
    <cellStyle name="Normal 8 2 5_60bb M" xfId="1538"/>
    <cellStyle name="Normal 8 2 6" xfId="1139"/>
    <cellStyle name="Normal 8 2_4x200 M" xfId="1140"/>
    <cellStyle name="Normal 8 3" xfId="1141"/>
    <cellStyle name="Normal 8 4" xfId="1142"/>
    <cellStyle name="Normal 8 4 2" xfId="1143"/>
    <cellStyle name="Normal 8 4 2 2" xfId="1144"/>
    <cellStyle name="Normal 8 4 2_60bb M" xfId="1539"/>
    <cellStyle name="Normal 8 4 3" xfId="1145"/>
    <cellStyle name="Normal 8 4 3 2" xfId="1146"/>
    <cellStyle name="Normal 8 4 3_60bb M" xfId="1540"/>
    <cellStyle name="Normal 8 4 4" xfId="1147"/>
    <cellStyle name="Normal 8 4 4 2" xfId="1148"/>
    <cellStyle name="Normal 8 4 4_60bb M" xfId="1541"/>
    <cellStyle name="Normal 8 4_DALYVIAI" xfId="1149"/>
    <cellStyle name="Normal 8 5" xfId="1150"/>
    <cellStyle name="Normal 8 6" xfId="1151"/>
    <cellStyle name="Normal 8 7" xfId="1152"/>
    <cellStyle name="Normal 8_4x200 M" xfId="1153"/>
    <cellStyle name="Normal 9" xfId="1154"/>
    <cellStyle name="Normal 9 10" xfId="1155"/>
    <cellStyle name="Normal 9 2" xfId="1156"/>
    <cellStyle name="Normal 9 2 2" xfId="1157"/>
    <cellStyle name="Normal 9 2 2 2" xfId="1158"/>
    <cellStyle name="Normal 9 2 2_60bb M" xfId="1542"/>
    <cellStyle name="Normal 9 2 3" xfId="1159"/>
    <cellStyle name="Normal 9 2 3 2" xfId="1160"/>
    <cellStyle name="Normal 9 2 3_60bb M" xfId="1543"/>
    <cellStyle name="Normal 9 2 4" xfId="1161"/>
    <cellStyle name="Normal 9 2 4 2" xfId="1162"/>
    <cellStyle name="Normal 9 2 4_60bb M" xfId="1544"/>
    <cellStyle name="Normal 9 2 5" xfId="1163"/>
    <cellStyle name="Normal 9 2_4x200 M" xfId="1164"/>
    <cellStyle name="Normal 9 3" xfId="1165"/>
    <cellStyle name="Normal 9 3 2" xfId="1166"/>
    <cellStyle name="Normal 9 3 2 2" xfId="1167"/>
    <cellStyle name="Normal 9 3 2 2 2" xfId="1168"/>
    <cellStyle name="Normal 9 3 2 2_60bb M" xfId="1545"/>
    <cellStyle name="Normal 9 3 2 3" xfId="1169"/>
    <cellStyle name="Normal 9 3 2 3 2" xfId="1170"/>
    <cellStyle name="Normal 9 3 2 3_60bb M" xfId="1546"/>
    <cellStyle name="Normal 9 3 2 4" xfId="1171"/>
    <cellStyle name="Normal 9 3 2 4 2" xfId="1172"/>
    <cellStyle name="Normal 9 3 2 4_60bb M" xfId="1547"/>
    <cellStyle name="Normal 9 3 2 5" xfId="1173"/>
    <cellStyle name="Normal 9 3 2_4x200 M" xfId="1174"/>
    <cellStyle name="Normal 9 3 3" xfId="1175"/>
    <cellStyle name="Normal 9 3 3 2" xfId="1176"/>
    <cellStyle name="Normal 9 3 3_60bb M" xfId="1548"/>
    <cellStyle name="Normal 9 3 4" xfId="1177"/>
    <cellStyle name="Normal 9 3 4 2" xfId="1178"/>
    <cellStyle name="Normal 9 3 4_60bb M" xfId="1549"/>
    <cellStyle name="Normal 9 3 5" xfId="1179"/>
    <cellStyle name="Normal 9 3 5 2" xfId="1180"/>
    <cellStyle name="Normal 9 3 5_60bb M" xfId="1550"/>
    <cellStyle name="Normal 9 3 6" xfId="1181"/>
    <cellStyle name="Normal 9 3_4x200 M" xfId="1182"/>
    <cellStyle name="Normal 9 4" xfId="1183"/>
    <cellStyle name="Normal 9 4 2" xfId="1184"/>
    <cellStyle name="Normal 9 4 2 2" xfId="1185"/>
    <cellStyle name="Normal 9 4 2_60bb M" xfId="1551"/>
    <cellStyle name="Normal 9 4 3" xfId="1186"/>
    <cellStyle name="Normal 9 4 3 2" xfId="1187"/>
    <cellStyle name="Normal 9 4 3_60bb M" xfId="1552"/>
    <cellStyle name="Normal 9 4 4" xfId="1188"/>
    <cellStyle name="Normal 9 4 4 2" xfId="1189"/>
    <cellStyle name="Normal 9 4 4_60bb M" xfId="1553"/>
    <cellStyle name="Normal 9 4 5" xfId="1190"/>
    <cellStyle name="Normal 9 4_4x200 M" xfId="1191"/>
    <cellStyle name="Normal 9 5" xfId="1192"/>
    <cellStyle name="Normal 9 5 2" xfId="1193"/>
    <cellStyle name="Normal 9 5 2 2" xfId="1194"/>
    <cellStyle name="Normal 9 5 2_60bb M" xfId="1554"/>
    <cellStyle name="Normal 9 5 3" xfId="1195"/>
    <cellStyle name="Normal 9 5 3 2" xfId="1196"/>
    <cellStyle name="Normal 9 5 3_60bb M" xfId="1555"/>
    <cellStyle name="Normal 9 5 4" xfId="1197"/>
    <cellStyle name="Normal 9 5 4 2" xfId="1198"/>
    <cellStyle name="Normal 9 5 4_60bb M" xfId="1556"/>
    <cellStyle name="Normal 9 5 5" xfId="1199"/>
    <cellStyle name="Normal 9 5_4x200 M" xfId="1200"/>
    <cellStyle name="Normal 9 6" xfId="1201"/>
    <cellStyle name="Normal 9 7" xfId="1202"/>
    <cellStyle name="Normal 9 7 2" xfId="1203"/>
    <cellStyle name="Normal 9 7 2 2" xfId="1204"/>
    <cellStyle name="Normal 9 7 2_60bb M" xfId="1557"/>
    <cellStyle name="Normal 9 7 3" xfId="1205"/>
    <cellStyle name="Normal 9 7 3 2" xfId="1206"/>
    <cellStyle name="Normal 9 7 3_60bb M" xfId="1558"/>
    <cellStyle name="Normal 9 7 4" xfId="1207"/>
    <cellStyle name="Normal 9 7 4 2" xfId="1208"/>
    <cellStyle name="Normal 9 7 4_60bb M" xfId="1559"/>
    <cellStyle name="Normal 9 7_DALYVIAI" xfId="1209"/>
    <cellStyle name="Normal 9 8" xfId="1210"/>
    <cellStyle name="Normal 9 9" xfId="1211"/>
    <cellStyle name="Normal 9_4x200 M" xfId="1212"/>
    <cellStyle name="Normal_2013-01-15 2" xfId="1569"/>
    <cellStyle name="Normal_60 M1" xfId="2"/>
    <cellStyle name="Normal_kategorijos(1)" xfId="1567"/>
    <cellStyle name="Note 2" xfId="1213"/>
    <cellStyle name="Output 2" xfId="1214"/>
    <cellStyle name="Paprastas 2" xfId="1215"/>
    <cellStyle name="Paprastas 2 2" xfId="1560"/>
    <cellStyle name="Paprastas 2_10000m" xfId="1561"/>
    <cellStyle name="Paprastas 3" xfId="1562"/>
    <cellStyle name="Paprastas 3 2" xfId="1563"/>
    <cellStyle name="Paprastas 3_1500 M" xfId="1564"/>
    <cellStyle name="Paprastas 5" xfId="1565"/>
    <cellStyle name="Paprastas_100 V" xfId="1566"/>
    <cellStyle name="Percent [0]" xfId="1216"/>
    <cellStyle name="Percent [00]" xfId="1217"/>
    <cellStyle name="Percent [2]" xfId="1218"/>
    <cellStyle name="PrePop Currency (0)" xfId="1219"/>
    <cellStyle name="PrePop Currency (2)" xfId="1220"/>
    <cellStyle name="PrePop Units (0)" xfId="1221"/>
    <cellStyle name="PrePop Units (1)" xfId="1222"/>
    <cellStyle name="PrePop Units (2)" xfId="1223"/>
    <cellStyle name="Text Indent A" xfId="1224"/>
    <cellStyle name="Text Indent B" xfId="1225"/>
    <cellStyle name="Text Indent C" xfId="1226"/>
    <cellStyle name="Title 2" xfId="1227"/>
    <cellStyle name="Total 2" xfId="1228"/>
    <cellStyle name="Walutowy [0]_PLDT" xfId="1229"/>
    <cellStyle name="Walutowy_PLDT" xfId="1230"/>
    <cellStyle name="Warning Text 2" xfId="1231"/>
    <cellStyle name="Обычный_Итоговый спартакиады 1991-92 г" xfId="12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152399</xdr:colOff>
      <xdr:row>27</xdr:row>
      <xdr:rowOff>121920</xdr:rowOff>
    </xdr:from>
    <xdr:to>
      <xdr:col>5</xdr:col>
      <xdr:colOff>186740</xdr:colOff>
      <xdr:row>31</xdr:row>
      <xdr:rowOff>71120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4815840"/>
          <a:ext cx="811581" cy="61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480060" cy="388620"/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2880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480060" cy="388620"/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2880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182880"/>
          <a:ext cx="4800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02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02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02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182880"/>
          <a:ext cx="4800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312420</xdr:colOff>
      <xdr:row>1</xdr:row>
      <xdr:rowOff>121920</xdr:rowOff>
    </xdr:from>
    <xdr:to>
      <xdr:col>10</xdr:col>
      <xdr:colOff>441960</xdr:colOff>
      <xdr:row>5</xdr:row>
      <xdr:rowOff>30480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680" y="34290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2880"/>
          <a:ext cx="4800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9</xdr:col>
      <xdr:colOff>624840</xdr:colOff>
      <xdr:row>13</xdr:row>
      <xdr:rowOff>217395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499860" y="1783080"/>
          <a:ext cx="624840" cy="674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624840</xdr:colOff>
      <xdr:row>14</xdr:row>
      <xdr:rowOff>16136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499860" y="1783080"/>
          <a:ext cx="624840" cy="7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4" name="Picture 2" descr="LSSA%20logas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0</xdr:rowOff>
    </xdr:from>
    <xdr:to>
      <xdr:col>16</xdr:col>
      <xdr:colOff>228600</xdr:colOff>
      <xdr:row>2</xdr:row>
      <xdr:rowOff>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380" y="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38100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335280</xdr:colOff>
      <xdr:row>0</xdr:row>
      <xdr:rowOff>22860</xdr:rowOff>
    </xdr:from>
    <xdr:to>
      <xdr:col>18</xdr:col>
      <xdr:colOff>7620</xdr:colOff>
      <xdr:row>2</xdr:row>
      <xdr:rowOff>22860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9480" y="2286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99060</xdr:colOff>
      <xdr:row>1</xdr:row>
      <xdr:rowOff>22860</xdr:rowOff>
    </xdr:from>
    <xdr:to>
      <xdr:col>16</xdr:col>
      <xdr:colOff>129540</xdr:colOff>
      <xdr:row>3</xdr:row>
      <xdr:rowOff>91440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28194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480060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360" y="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480060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840" y="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480060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0</xdr:rowOff>
    </xdr:from>
    <xdr:to>
      <xdr:col>16</xdr:col>
      <xdr:colOff>908685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6385" y="0"/>
          <a:ext cx="3581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476250</xdr:colOff>
      <xdr:row>0</xdr:row>
      <xdr:rowOff>9525</xdr:rowOff>
    </xdr:from>
    <xdr:to>
      <xdr:col>16</xdr:col>
      <xdr:colOff>956310</xdr:colOff>
      <xdr:row>1</xdr:row>
      <xdr:rowOff>131445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7230" y="9525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21</xdr:row>
      <xdr:rowOff>0</xdr:rowOff>
    </xdr:from>
    <xdr:to>
      <xdr:col>16</xdr:col>
      <xdr:colOff>468630</xdr:colOff>
      <xdr:row>25</xdr:row>
      <xdr:rowOff>109220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955280" y="2811780"/>
          <a:ext cx="46863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16</xdr:col>
      <xdr:colOff>468630</xdr:colOff>
      <xdr:row>25</xdr:row>
      <xdr:rowOff>25400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55280" y="2811780"/>
          <a:ext cx="46863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480060</xdr:colOff>
      <xdr:row>3</xdr:row>
      <xdr:rowOff>160020</xdr:rowOff>
    </xdr:to>
    <xdr:pic>
      <xdr:nvPicPr>
        <xdr:cNvPr id="4" name="Picture 2" descr="LSSA%20loga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18</xdr:col>
      <xdr:colOff>473392</xdr:colOff>
      <xdr:row>34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298180" y="5509260"/>
          <a:ext cx="474662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18</xdr:col>
      <xdr:colOff>473392</xdr:colOff>
      <xdr:row>34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298180" y="5509260"/>
          <a:ext cx="474662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480060</xdr:colOff>
      <xdr:row>3</xdr:row>
      <xdr:rowOff>160020</xdr:rowOff>
    </xdr:to>
    <xdr:pic>
      <xdr:nvPicPr>
        <xdr:cNvPr id="4" name="Picture 2" descr="LSSA%20loga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2880"/>
          <a:ext cx="4800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2880"/>
          <a:ext cx="4800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</xdr:row>
      <xdr:rowOff>0</xdr:rowOff>
    </xdr:from>
    <xdr:to>
      <xdr:col>13</xdr:col>
      <xdr:colOff>342900</xdr:colOff>
      <xdr:row>14</xdr:row>
      <xdr:rowOff>45720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705600" y="1828800"/>
          <a:ext cx="71628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3" name="Picture 2" descr="LSSA%20loga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2880"/>
          <a:ext cx="4800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342900</xdr:colOff>
      <xdr:row>17</xdr:row>
      <xdr:rowOff>19050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705600" y="2194560"/>
          <a:ext cx="71628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13</xdr:col>
      <xdr:colOff>342900</xdr:colOff>
      <xdr:row>21</xdr:row>
      <xdr:rowOff>45720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705600" y="3108960"/>
          <a:ext cx="71628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13</xdr:col>
      <xdr:colOff>342900</xdr:colOff>
      <xdr:row>26</xdr:row>
      <xdr:rowOff>34290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705600" y="4206240"/>
          <a:ext cx="71628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13</xdr:col>
      <xdr:colOff>342900</xdr:colOff>
      <xdr:row>35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705600" y="5669280"/>
          <a:ext cx="7162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13</xdr:col>
      <xdr:colOff>342900</xdr:colOff>
      <xdr:row>41</xdr:row>
      <xdr:rowOff>53340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705600" y="6949440"/>
          <a:ext cx="7162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14</xdr:col>
      <xdr:colOff>342900</xdr:colOff>
      <xdr:row>17</xdr:row>
      <xdr:rowOff>53340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560320"/>
          <a:ext cx="15621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3" name="Picture 2" descr="LSSA%20loga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2880"/>
          <a:ext cx="4800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14</xdr:col>
      <xdr:colOff>342900</xdr:colOff>
      <xdr:row>28</xdr:row>
      <xdr:rowOff>148590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572000"/>
          <a:ext cx="15621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14</xdr:col>
      <xdr:colOff>342900</xdr:colOff>
      <xdr:row>21</xdr:row>
      <xdr:rowOff>53340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291840"/>
          <a:ext cx="15621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14</xdr:col>
      <xdr:colOff>342900</xdr:colOff>
      <xdr:row>11</xdr:row>
      <xdr:rowOff>34290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463040"/>
          <a:ext cx="156210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14</xdr:col>
      <xdr:colOff>342900</xdr:colOff>
      <xdr:row>14</xdr:row>
      <xdr:rowOff>53340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011680"/>
          <a:ext cx="15621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14</xdr:col>
      <xdr:colOff>342900</xdr:colOff>
      <xdr:row>14</xdr:row>
      <xdr:rowOff>53340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011680"/>
          <a:ext cx="15621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2"/>
  <sheetViews>
    <sheetView topLeftCell="A25" zoomScaleNormal="100" workbookViewId="0">
      <selection activeCell="B26" sqref="B26"/>
    </sheetView>
  </sheetViews>
  <sheetFormatPr defaultRowHeight="12.75"/>
  <cols>
    <col min="1" max="1" width="3" style="278" customWidth="1"/>
    <col min="2" max="2" width="0.5703125" style="278" customWidth="1"/>
    <col min="3" max="3" width="3.7109375" style="278" customWidth="1"/>
    <col min="4" max="41" width="5.7109375" style="278" customWidth="1"/>
    <col min="42" max="256" width="8.85546875" style="278"/>
    <col min="257" max="257" width="3" style="278" customWidth="1"/>
    <col min="258" max="258" width="0.5703125" style="278" customWidth="1"/>
    <col min="259" max="259" width="3.7109375" style="278" customWidth="1"/>
    <col min="260" max="297" width="5.7109375" style="278" customWidth="1"/>
    <col min="298" max="512" width="8.85546875" style="278"/>
    <col min="513" max="513" width="3" style="278" customWidth="1"/>
    <col min="514" max="514" width="0.5703125" style="278" customWidth="1"/>
    <col min="515" max="515" width="3.7109375" style="278" customWidth="1"/>
    <col min="516" max="553" width="5.7109375" style="278" customWidth="1"/>
    <col min="554" max="768" width="8.85546875" style="278"/>
    <col min="769" max="769" width="3" style="278" customWidth="1"/>
    <col min="770" max="770" width="0.5703125" style="278" customWidth="1"/>
    <col min="771" max="771" width="3.7109375" style="278" customWidth="1"/>
    <col min="772" max="809" width="5.7109375" style="278" customWidth="1"/>
    <col min="810" max="1024" width="8.85546875" style="278"/>
    <col min="1025" max="1025" width="3" style="278" customWidth="1"/>
    <col min="1026" max="1026" width="0.5703125" style="278" customWidth="1"/>
    <col min="1027" max="1027" width="3.7109375" style="278" customWidth="1"/>
    <col min="1028" max="1065" width="5.7109375" style="278" customWidth="1"/>
    <col min="1066" max="1280" width="8.85546875" style="278"/>
    <col min="1281" max="1281" width="3" style="278" customWidth="1"/>
    <col min="1282" max="1282" width="0.5703125" style="278" customWidth="1"/>
    <col min="1283" max="1283" width="3.7109375" style="278" customWidth="1"/>
    <col min="1284" max="1321" width="5.7109375" style="278" customWidth="1"/>
    <col min="1322" max="1536" width="8.85546875" style="278"/>
    <col min="1537" max="1537" width="3" style="278" customWidth="1"/>
    <col min="1538" max="1538" width="0.5703125" style="278" customWidth="1"/>
    <col min="1539" max="1539" width="3.7109375" style="278" customWidth="1"/>
    <col min="1540" max="1577" width="5.7109375" style="278" customWidth="1"/>
    <col min="1578" max="1792" width="8.85546875" style="278"/>
    <col min="1793" max="1793" width="3" style="278" customWidth="1"/>
    <col min="1794" max="1794" width="0.5703125" style="278" customWidth="1"/>
    <col min="1795" max="1795" width="3.7109375" style="278" customWidth="1"/>
    <col min="1796" max="1833" width="5.7109375" style="278" customWidth="1"/>
    <col min="1834" max="2048" width="8.85546875" style="278"/>
    <col min="2049" max="2049" width="3" style="278" customWidth="1"/>
    <col min="2050" max="2050" width="0.5703125" style="278" customWidth="1"/>
    <col min="2051" max="2051" width="3.7109375" style="278" customWidth="1"/>
    <col min="2052" max="2089" width="5.7109375" style="278" customWidth="1"/>
    <col min="2090" max="2304" width="8.85546875" style="278"/>
    <col min="2305" max="2305" width="3" style="278" customWidth="1"/>
    <col min="2306" max="2306" width="0.5703125" style="278" customWidth="1"/>
    <col min="2307" max="2307" width="3.7109375" style="278" customWidth="1"/>
    <col min="2308" max="2345" width="5.7109375" style="278" customWidth="1"/>
    <col min="2346" max="2560" width="8.85546875" style="278"/>
    <col min="2561" max="2561" width="3" style="278" customWidth="1"/>
    <col min="2562" max="2562" width="0.5703125" style="278" customWidth="1"/>
    <col min="2563" max="2563" width="3.7109375" style="278" customWidth="1"/>
    <col min="2564" max="2601" width="5.7109375" style="278" customWidth="1"/>
    <col min="2602" max="2816" width="8.85546875" style="278"/>
    <col min="2817" max="2817" width="3" style="278" customWidth="1"/>
    <col min="2818" max="2818" width="0.5703125" style="278" customWidth="1"/>
    <col min="2819" max="2819" width="3.7109375" style="278" customWidth="1"/>
    <col min="2820" max="2857" width="5.7109375" style="278" customWidth="1"/>
    <col min="2858" max="3072" width="8.85546875" style="278"/>
    <col min="3073" max="3073" width="3" style="278" customWidth="1"/>
    <col min="3074" max="3074" width="0.5703125" style="278" customWidth="1"/>
    <col min="3075" max="3075" width="3.7109375" style="278" customWidth="1"/>
    <col min="3076" max="3113" width="5.7109375" style="278" customWidth="1"/>
    <col min="3114" max="3328" width="8.85546875" style="278"/>
    <col min="3329" max="3329" width="3" style="278" customWidth="1"/>
    <col min="3330" max="3330" width="0.5703125" style="278" customWidth="1"/>
    <col min="3331" max="3331" width="3.7109375" style="278" customWidth="1"/>
    <col min="3332" max="3369" width="5.7109375" style="278" customWidth="1"/>
    <col min="3370" max="3584" width="8.85546875" style="278"/>
    <col min="3585" max="3585" width="3" style="278" customWidth="1"/>
    <col min="3586" max="3586" width="0.5703125" style="278" customWidth="1"/>
    <col min="3587" max="3587" width="3.7109375" style="278" customWidth="1"/>
    <col min="3588" max="3625" width="5.7109375" style="278" customWidth="1"/>
    <col min="3626" max="3840" width="8.85546875" style="278"/>
    <col min="3841" max="3841" width="3" style="278" customWidth="1"/>
    <col min="3842" max="3842" width="0.5703125" style="278" customWidth="1"/>
    <col min="3843" max="3843" width="3.7109375" style="278" customWidth="1"/>
    <col min="3844" max="3881" width="5.7109375" style="278" customWidth="1"/>
    <col min="3882" max="4096" width="8.85546875" style="278"/>
    <col min="4097" max="4097" width="3" style="278" customWidth="1"/>
    <col min="4098" max="4098" width="0.5703125" style="278" customWidth="1"/>
    <col min="4099" max="4099" width="3.7109375" style="278" customWidth="1"/>
    <col min="4100" max="4137" width="5.7109375" style="278" customWidth="1"/>
    <col min="4138" max="4352" width="8.85546875" style="278"/>
    <col min="4353" max="4353" width="3" style="278" customWidth="1"/>
    <col min="4354" max="4354" width="0.5703125" style="278" customWidth="1"/>
    <col min="4355" max="4355" width="3.7109375" style="278" customWidth="1"/>
    <col min="4356" max="4393" width="5.7109375" style="278" customWidth="1"/>
    <col min="4394" max="4608" width="8.85546875" style="278"/>
    <col min="4609" max="4609" width="3" style="278" customWidth="1"/>
    <col min="4610" max="4610" width="0.5703125" style="278" customWidth="1"/>
    <col min="4611" max="4611" width="3.7109375" style="278" customWidth="1"/>
    <col min="4612" max="4649" width="5.7109375" style="278" customWidth="1"/>
    <col min="4650" max="4864" width="8.85546875" style="278"/>
    <col min="4865" max="4865" width="3" style="278" customWidth="1"/>
    <col min="4866" max="4866" width="0.5703125" style="278" customWidth="1"/>
    <col min="4867" max="4867" width="3.7109375" style="278" customWidth="1"/>
    <col min="4868" max="4905" width="5.7109375" style="278" customWidth="1"/>
    <col min="4906" max="5120" width="8.85546875" style="278"/>
    <col min="5121" max="5121" width="3" style="278" customWidth="1"/>
    <col min="5122" max="5122" width="0.5703125" style="278" customWidth="1"/>
    <col min="5123" max="5123" width="3.7109375" style="278" customWidth="1"/>
    <col min="5124" max="5161" width="5.7109375" style="278" customWidth="1"/>
    <col min="5162" max="5376" width="8.85546875" style="278"/>
    <col min="5377" max="5377" width="3" style="278" customWidth="1"/>
    <col min="5378" max="5378" width="0.5703125" style="278" customWidth="1"/>
    <col min="5379" max="5379" width="3.7109375" style="278" customWidth="1"/>
    <col min="5380" max="5417" width="5.7109375" style="278" customWidth="1"/>
    <col min="5418" max="5632" width="8.85546875" style="278"/>
    <col min="5633" max="5633" width="3" style="278" customWidth="1"/>
    <col min="5634" max="5634" width="0.5703125" style="278" customWidth="1"/>
    <col min="5635" max="5635" width="3.7109375" style="278" customWidth="1"/>
    <col min="5636" max="5673" width="5.7109375" style="278" customWidth="1"/>
    <col min="5674" max="5888" width="8.85546875" style="278"/>
    <col min="5889" max="5889" width="3" style="278" customWidth="1"/>
    <col min="5890" max="5890" width="0.5703125" style="278" customWidth="1"/>
    <col min="5891" max="5891" width="3.7109375" style="278" customWidth="1"/>
    <col min="5892" max="5929" width="5.7109375" style="278" customWidth="1"/>
    <col min="5930" max="6144" width="8.85546875" style="278"/>
    <col min="6145" max="6145" width="3" style="278" customWidth="1"/>
    <col min="6146" max="6146" width="0.5703125" style="278" customWidth="1"/>
    <col min="6147" max="6147" width="3.7109375" style="278" customWidth="1"/>
    <col min="6148" max="6185" width="5.7109375" style="278" customWidth="1"/>
    <col min="6186" max="6400" width="8.85546875" style="278"/>
    <col min="6401" max="6401" width="3" style="278" customWidth="1"/>
    <col min="6402" max="6402" width="0.5703125" style="278" customWidth="1"/>
    <col min="6403" max="6403" width="3.7109375" style="278" customWidth="1"/>
    <col min="6404" max="6441" width="5.7109375" style="278" customWidth="1"/>
    <col min="6442" max="6656" width="8.85546875" style="278"/>
    <col min="6657" max="6657" width="3" style="278" customWidth="1"/>
    <col min="6658" max="6658" width="0.5703125" style="278" customWidth="1"/>
    <col min="6659" max="6659" width="3.7109375" style="278" customWidth="1"/>
    <col min="6660" max="6697" width="5.7109375" style="278" customWidth="1"/>
    <col min="6698" max="6912" width="8.85546875" style="278"/>
    <col min="6913" max="6913" width="3" style="278" customWidth="1"/>
    <col min="6914" max="6914" width="0.5703125" style="278" customWidth="1"/>
    <col min="6915" max="6915" width="3.7109375" style="278" customWidth="1"/>
    <col min="6916" max="6953" width="5.7109375" style="278" customWidth="1"/>
    <col min="6954" max="7168" width="8.85546875" style="278"/>
    <col min="7169" max="7169" width="3" style="278" customWidth="1"/>
    <col min="7170" max="7170" width="0.5703125" style="278" customWidth="1"/>
    <col min="7171" max="7171" width="3.7109375" style="278" customWidth="1"/>
    <col min="7172" max="7209" width="5.7109375" style="278" customWidth="1"/>
    <col min="7210" max="7424" width="8.85546875" style="278"/>
    <col min="7425" max="7425" width="3" style="278" customWidth="1"/>
    <col min="7426" max="7426" width="0.5703125" style="278" customWidth="1"/>
    <col min="7427" max="7427" width="3.7109375" style="278" customWidth="1"/>
    <col min="7428" max="7465" width="5.7109375" style="278" customWidth="1"/>
    <col min="7466" max="7680" width="8.85546875" style="278"/>
    <col min="7681" max="7681" width="3" style="278" customWidth="1"/>
    <col min="7682" max="7682" width="0.5703125" style="278" customWidth="1"/>
    <col min="7683" max="7683" width="3.7109375" style="278" customWidth="1"/>
    <col min="7684" max="7721" width="5.7109375" style="278" customWidth="1"/>
    <col min="7722" max="7936" width="8.85546875" style="278"/>
    <col min="7937" max="7937" width="3" style="278" customWidth="1"/>
    <col min="7938" max="7938" width="0.5703125" style="278" customWidth="1"/>
    <col min="7939" max="7939" width="3.7109375" style="278" customWidth="1"/>
    <col min="7940" max="7977" width="5.7109375" style="278" customWidth="1"/>
    <col min="7978" max="8192" width="8.85546875" style="278"/>
    <col min="8193" max="8193" width="3" style="278" customWidth="1"/>
    <col min="8194" max="8194" width="0.5703125" style="278" customWidth="1"/>
    <col min="8195" max="8195" width="3.7109375" style="278" customWidth="1"/>
    <col min="8196" max="8233" width="5.7109375" style="278" customWidth="1"/>
    <col min="8234" max="8448" width="8.85546875" style="278"/>
    <col min="8449" max="8449" width="3" style="278" customWidth="1"/>
    <col min="8450" max="8450" width="0.5703125" style="278" customWidth="1"/>
    <col min="8451" max="8451" width="3.7109375" style="278" customWidth="1"/>
    <col min="8452" max="8489" width="5.7109375" style="278" customWidth="1"/>
    <col min="8490" max="8704" width="8.85546875" style="278"/>
    <col min="8705" max="8705" width="3" style="278" customWidth="1"/>
    <col min="8706" max="8706" width="0.5703125" style="278" customWidth="1"/>
    <col min="8707" max="8707" width="3.7109375" style="278" customWidth="1"/>
    <col min="8708" max="8745" width="5.7109375" style="278" customWidth="1"/>
    <col min="8746" max="8960" width="8.85546875" style="278"/>
    <col min="8961" max="8961" width="3" style="278" customWidth="1"/>
    <col min="8962" max="8962" width="0.5703125" style="278" customWidth="1"/>
    <col min="8963" max="8963" width="3.7109375" style="278" customWidth="1"/>
    <col min="8964" max="9001" width="5.7109375" style="278" customWidth="1"/>
    <col min="9002" max="9216" width="8.85546875" style="278"/>
    <col min="9217" max="9217" width="3" style="278" customWidth="1"/>
    <col min="9218" max="9218" width="0.5703125" style="278" customWidth="1"/>
    <col min="9219" max="9219" width="3.7109375" style="278" customWidth="1"/>
    <col min="9220" max="9257" width="5.7109375" style="278" customWidth="1"/>
    <col min="9258" max="9472" width="8.85546875" style="278"/>
    <col min="9473" max="9473" width="3" style="278" customWidth="1"/>
    <col min="9474" max="9474" width="0.5703125" style="278" customWidth="1"/>
    <col min="9475" max="9475" width="3.7109375" style="278" customWidth="1"/>
    <col min="9476" max="9513" width="5.7109375" style="278" customWidth="1"/>
    <col min="9514" max="9728" width="8.85546875" style="278"/>
    <col min="9729" max="9729" width="3" style="278" customWidth="1"/>
    <col min="9730" max="9730" width="0.5703125" style="278" customWidth="1"/>
    <col min="9731" max="9731" width="3.7109375" style="278" customWidth="1"/>
    <col min="9732" max="9769" width="5.7109375" style="278" customWidth="1"/>
    <col min="9770" max="9984" width="8.85546875" style="278"/>
    <col min="9985" max="9985" width="3" style="278" customWidth="1"/>
    <col min="9986" max="9986" width="0.5703125" style="278" customWidth="1"/>
    <col min="9987" max="9987" width="3.7109375" style="278" customWidth="1"/>
    <col min="9988" max="10025" width="5.7109375" style="278" customWidth="1"/>
    <col min="10026" max="10240" width="8.85546875" style="278"/>
    <col min="10241" max="10241" width="3" style="278" customWidth="1"/>
    <col min="10242" max="10242" width="0.5703125" style="278" customWidth="1"/>
    <col min="10243" max="10243" width="3.7109375" style="278" customWidth="1"/>
    <col min="10244" max="10281" width="5.7109375" style="278" customWidth="1"/>
    <col min="10282" max="10496" width="8.85546875" style="278"/>
    <col min="10497" max="10497" width="3" style="278" customWidth="1"/>
    <col min="10498" max="10498" width="0.5703125" style="278" customWidth="1"/>
    <col min="10499" max="10499" width="3.7109375" style="278" customWidth="1"/>
    <col min="10500" max="10537" width="5.7109375" style="278" customWidth="1"/>
    <col min="10538" max="10752" width="8.85546875" style="278"/>
    <col min="10753" max="10753" width="3" style="278" customWidth="1"/>
    <col min="10754" max="10754" width="0.5703125" style="278" customWidth="1"/>
    <col min="10755" max="10755" width="3.7109375" style="278" customWidth="1"/>
    <col min="10756" max="10793" width="5.7109375" style="278" customWidth="1"/>
    <col min="10794" max="11008" width="8.85546875" style="278"/>
    <col min="11009" max="11009" width="3" style="278" customWidth="1"/>
    <col min="11010" max="11010" width="0.5703125" style="278" customWidth="1"/>
    <col min="11011" max="11011" width="3.7109375" style="278" customWidth="1"/>
    <col min="11012" max="11049" width="5.7109375" style="278" customWidth="1"/>
    <col min="11050" max="11264" width="8.85546875" style="278"/>
    <col min="11265" max="11265" width="3" style="278" customWidth="1"/>
    <col min="11266" max="11266" width="0.5703125" style="278" customWidth="1"/>
    <col min="11267" max="11267" width="3.7109375" style="278" customWidth="1"/>
    <col min="11268" max="11305" width="5.7109375" style="278" customWidth="1"/>
    <col min="11306" max="11520" width="8.85546875" style="278"/>
    <col min="11521" max="11521" width="3" style="278" customWidth="1"/>
    <col min="11522" max="11522" width="0.5703125" style="278" customWidth="1"/>
    <col min="11523" max="11523" width="3.7109375" style="278" customWidth="1"/>
    <col min="11524" max="11561" width="5.7109375" style="278" customWidth="1"/>
    <col min="11562" max="11776" width="8.85546875" style="278"/>
    <col min="11777" max="11777" width="3" style="278" customWidth="1"/>
    <col min="11778" max="11778" width="0.5703125" style="278" customWidth="1"/>
    <col min="11779" max="11779" width="3.7109375" style="278" customWidth="1"/>
    <col min="11780" max="11817" width="5.7109375" style="278" customWidth="1"/>
    <col min="11818" max="12032" width="8.85546875" style="278"/>
    <col min="12033" max="12033" width="3" style="278" customWidth="1"/>
    <col min="12034" max="12034" width="0.5703125" style="278" customWidth="1"/>
    <col min="12035" max="12035" width="3.7109375" style="278" customWidth="1"/>
    <col min="12036" max="12073" width="5.7109375" style="278" customWidth="1"/>
    <col min="12074" max="12288" width="8.85546875" style="278"/>
    <col min="12289" max="12289" width="3" style="278" customWidth="1"/>
    <col min="12290" max="12290" width="0.5703125" style="278" customWidth="1"/>
    <col min="12291" max="12291" width="3.7109375" style="278" customWidth="1"/>
    <col min="12292" max="12329" width="5.7109375" style="278" customWidth="1"/>
    <col min="12330" max="12544" width="8.85546875" style="278"/>
    <col min="12545" max="12545" width="3" style="278" customWidth="1"/>
    <col min="12546" max="12546" width="0.5703125" style="278" customWidth="1"/>
    <col min="12547" max="12547" width="3.7109375" style="278" customWidth="1"/>
    <col min="12548" max="12585" width="5.7109375" style="278" customWidth="1"/>
    <col min="12586" max="12800" width="8.85546875" style="278"/>
    <col min="12801" max="12801" width="3" style="278" customWidth="1"/>
    <col min="12802" max="12802" width="0.5703125" style="278" customWidth="1"/>
    <col min="12803" max="12803" width="3.7109375" style="278" customWidth="1"/>
    <col min="12804" max="12841" width="5.7109375" style="278" customWidth="1"/>
    <col min="12842" max="13056" width="8.85546875" style="278"/>
    <col min="13057" max="13057" width="3" style="278" customWidth="1"/>
    <col min="13058" max="13058" width="0.5703125" style="278" customWidth="1"/>
    <col min="13059" max="13059" width="3.7109375" style="278" customWidth="1"/>
    <col min="13060" max="13097" width="5.7109375" style="278" customWidth="1"/>
    <col min="13098" max="13312" width="8.85546875" style="278"/>
    <col min="13313" max="13313" width="3" style="278" customWidth="1"/>
    <col min="13314" max="13314" width="0.5703125" style="278" customWidth="1"/>
    <col min="13315" max="13315" width="3.7109375" style="278" customWidth="1"/>
    <col min="13316" max="13353" width="5.7109375" style="278" customWidth="1"/>
    <col min="13354" max="13568" width="8.85546875" style="278"/>
    <col min="13569" max="13569" width="3" style="278" customWidth="1"/>
    <col min="13570" max="13570" width="0.5703125" style="278" customWidth="1"/>
    <col min="13571" max="13571" width="3.7109375" style="278" customWidth="1"/>
    <col min="13572" max="13609" width="5.7109375" style="278" customWidth="1"/>
    <col min="13610" max="13824" width="8.85546875" style="278"/>
    <col min="13825" max="13825" width="3" style="278" customWidth="1"/>
    <col min="13826" max="13826" width="0.5703125" style="278" customWidth="1"/>
    <col min="13827" max="13827" width="3.7109375" style="278" customWidth="1"/>
    <col min="13828" max="13865" width="5.7109375" style="278" customWidth="1"/>
    <col min="13866" max="14080" width="8.85546875" style="278"/>
    <col min="14081" max="14081" width="3" style="278" customWidth="1"/>
    <col min="14082" max="14082" width="0.5703125" style="278" customWidth="1"/>
    <col min="14083" max="14083" width="3.7109375" style="278" customWidth="1"/>
    <col min="14084" max="14121" width="5.7109375" style="278" customWidth="1"/>
    <col min="14122" max="14336" width="8.85546875" style="278"/>
    <col min="14337" max="14337" width="3" style="278" customWidth="1"/>
    <col min="14338" max="14338" width="0.5703125" style="278" customWidth="1"/>
    <col min="14339" max="14339" width="3.7109375" style="278" customWidth="1"/>
    <col min="14340" max="14377" width="5.7109375" style="278" customWidth="1"/>
    <col min="14378" max="14592" width="8.85546875" style="278"/>
    <col min="14593" max="14593" width="3" style="278" customWidth="1"/>
    <col min="14594" max="14594" width="0.5703125" style="278" customWidth="1"/>
    <col min="14595" max="14595" width="3.7109375" style="278" customWidth="1"/>
    <col min="14596" max="14633" width="5.7109375" style="278" customWidth="1"/>
    <col min="14634" max="14848" width="8.85546875" style="278"/>
    <col min="14849" max="14849" width="3" style="278" customWidth="1"/>
    <col min="14850" max="14850" width="0.5703125" style="278" customWidth="1"/>
    <col min="14851" max="14851" width="3.7109375" style="278" customWidth="1"/>
    <col min="14852" max="14889" width="5.7109375" style="278" customWidth="1"/>
    <col min="14890" max="15104" width="8.85546875" style="278"/>
    <col min="15105" max="15105" width="3" style="278" customWidth="1"/>
    <col min="15106" max="15106" width="0.5703125" style="278" customWidth="1"/>
    <col min="15107" max="15107" width="3.7109375" style="278" customWidth="1"/>
    <col min="15108" max="15145" width="5.7109375" style="278" customWidth="1"/>
    <col min="15146" max="15360" width="8.85546875" style="278"/>
    <col min="15361" max="15361" width="3" style="278" customWidth="1"/>
    <col min="15362" max="15362" width="0.5703125" style="278" customWidth="1"/>
    <col min="15363" max="15363" width="3.7109375" style="278" customWidth="1"/>
    <col min="15364" max="15401" width="5.7109375" style="278" customWidth="1"/>
    <col min="15402" max="15616" width="8.85546875" style="278"/>
    <col min="15617" max="15617" width="3" style="278" customWidth="1"/>
    <col min="15618" max="15618" width="0.5703125" style="278" customWidth="1"/>
    <col min="15619" max="15619" width="3.7109375" style="278" customWidth="1"/>
    <col min="15620" max="15657" width="5.7109375" style="278" customWidth="1"/>
    <col min="15658" max="15872" width="8.85546875" style="278"/>
    <col min="15873" max="15873" width="3" style="278" customWidth="1"/>
    <col min="15874" max="15874" width="0.5703125" style="278" customWidth="1"/>
    <col min="15875" max="15875" width="3.7109375" style="278" customWidth="1"/>
    <col min="15876" max="15913" width="5.7109375" style="278" customWidth="1"/>
    <col min="15914" max="16128" width="8.85546875" style="278"/>
    <col min="16129" max="16129" width="3" style="278" customWidth="1"/>
    <col min="16130" max="16130" width="0.5703125" style="278" customWidth="1"/>
    <col min="16131" max="16131" width="3.7109375" style="278" customWidth="1"/>
    <col min="16132" max="16169" width="5.7109375" style="278" customWidth="1"/>
    <col min="16170" max="16384" width="8.85546875" style="278"/>
  </cols>
  <sheetData>
    <row r="1" spans="2:4">
      <c r="B1" s="277"/>
    </row>
    <row r="2" spans="2:4">
      <c r="B2" s="277"/>
    </row>
    <row r="3" spans="2:4" ht="8.1" customHeight="1">
      <c r="B3" s="277"/>
    </row>
    <row r="4" spans="2:4" ht="15.75">
      <c r="B4" s="277"/>
      <c r="D4" s="279"/>
    </row>
    <row r="5" spans="2:4">
      <c r="B5" s="277"/>
    </row>
    <row r="6" spans="2:4">
      <c r="B6" s="277"/>
    </row>
    <row r="7" spans="2:4">
      <c r="B7" s="277"/>
    </row>
    <row r="8" spans="2:4">
      <c r="B8" s="277"/>
    </row>
    <row r="9" spans="2:4">
      <c r="B9" s="277"/>
    </row>
    <row r="10" spans="2:4">
      <c r="B10" s="277"/>
    </row>
    <row r="11" spans="2:4">
      <c r="B11" s="277"/>
    </row>
    <row r="12" spans="2:4">
      <c r="B12" s="277"/>
    </row>
    <row r="13" spans="2:4">
      <c r="B13" s="277"/>
    </row>
    <row r="14" spans="2:4">
      <c r="B14" s="277"/>
    </row>
    <row r="15" spans="2:4">
      <c r="B15" s="277"/>
    </row>
    <row r="16" spans="2:4">
      <c r="B16" s="277"/>
    </row>
    <row r="17" spans="1:15" s="280" customFormat="1" ht="19.5">
      <c r="B17" s="281"/>
      <c r="D17" s="282" t="s">
        <v>474</v>
      </c>
    </row>
    <row r="18" spans="1:15" s="280" customFormat="1" ht="19.5">
      <c r="B18" s="281"/>
      <c r="D18" s="283"/>
    </row>
    <row r="19" spans="1:15" s="280" customFormat="1" ht="19.5">
      <c r="B19" s="281"/>
      <c r="D19" s="282" t="s">
        <v>475</v>
      </c>
    </row>
    <row r="20" spans="1:15" s="280" customFormat="1" ht="19.5">
      <c r="B20" s="281"/>
      <c r="D20" s="283"/>
    </row>
    <row r="21" spans="1:15" s="280" customFormat="1" ht="19.5">
      <c r="B21" s="281"/>
      <c r="D21" s="282" t="s">
        <v>476</v>
      </c>
    </row>
    <row r="22" spans="1:15" s="280" customFormat="1" ht="19.5">
      <c r="B22" s="281"/>
      <c r="D22" s="283"/>
    </row>
    <row r="23" spans="1:15" s="280" customFormat="1" ht="19.5">
      <c r="B23" s="281"/>
      <c r="D23" s="282"/>
    </row>
    <row r="24" spans="1:15" s="280" customFormat="1" ht="17.25" customHeight="1">
      <c r="B24" s="281"/>
      <c r="D24" s="284"/>
    </row>
    <row r="25" spans="1:15" s="280" customFormat="1" ht="5.0999999999999996" customHeight="1">
      <c r="B25" s="281"/>
    </row>
    <row r="26" spans="1:15" s="280" customFormat="1" ht="3" customHeight="1">
      <c r="A26" s="285"/>
      <c r="B26" s="286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</row>
    <row r="27" spans="1:15" s="280" customFormat="1" ht="5.0999999999999996" customHeight="1">
      <c r="B27" s="281"/>
    </row>
    <row r="28" spans="1:15" s="280" customFormat="1">
      <c r="B28" s="281"/>
    </row>
    <row r="29" spans="1:15" s="280" customFormat="1">
      <c r="B29" s="281"/>
    </row>
    <row r="30" spans="1:15" s="280" customFormat="1">
      <c r="B30" s="281"/>
    </row>
    <row r="31" spans="1:15" s="280" customFormat="1">
      <c r="B31" s="281"/>
    </row>
    <row r="32" spans="1:15" s="280" customFormat="1">
      <c r="B32" s="281"/>
    </row>
    <row r="33" spans="1:12" s="280" customFormat="1">
      <c r="B33" s="281"/>
    </row>
    <row r="34" spans="1:12" s="280" customFormat="1">
      <c r="B34" s="281"/>
    </row>
    <row r="35" spans="1:12" s="280" customFormat="1">
      <c r="B35" s="281"/>
    </row>
    <row r="36" spans="1:12" s="280" customFormat="1">
      <c r="B36" s="281"/>
    </row>
    <row r="37" spans="1:12" s="280" customFormat="1">
      <c r="B37" s="281"/>
    </row>
    <row r="38" spans="1:12" s="280" customFormat="1">
      <c r="B38" s="281"/>
    </row>
    <row r="39" spans="1:12" s="280" customFormat="1" ht="15.75">
      <c r="B39" s="281"/>
      <c r="D39" s="287" t="s">
        <v>477</v>
      </c>
    </row>
    <row r="40" spans="1:12" s="280" customFormat="1" ht="6.95" customHeight="1">
      <c r="A40" s="288"/>
      <c r="B40" s="289"/>
      <c r="C40" s="288"/>
      <c r="D40" s="288"/>
      <c r="E40" s="288"/>
      <c r="F40" s="288"/>
      <c r="G40" s="288"/>
      <c r="H40" s="288"/>
      <c r="I40" s="288"/>
    </row>
    <row r="41" spans="1:12" s="280" customFormat="1" ht="6.95" customHeight="1">
      <c r="B41" s="281"/>
    </row>
    <row r="42" spans="1:12" s="280" customFormat="1" ht="15.75">
      <c r="B42" s="281"/>
      <c r="D42" s="290" t="s">
        <v>478</v>
      </c>
    </row>
    <row r="43" spans="1:12" s="280" customFormat="1" ht="15.75">
      <c r="B43" s="281"/>
      <c r="D43" s="291" t="s">
        <v>479</v>
      </c>
    </row>
    <row r="44" spans="1:12" s="280" customFormat="1" ht="15.75">
      <c r="B44" s="281"/>
      <c r="D44" s="290"/>
    </row>
    <row r="45" spans="1:12" s="280" customFormat="1">
      <c r="B45" s="281"/>
    </row>
    <row r="46" spans="1:12" s="280" customFormat="1">
      <c r="B46" s="281"/>
    </row>
    <row r="47" spans="1:12" s="280" customFormat="1">
      <c r="B47" s="281"/>
    </row>
    <row r="48" spans="1:12" s="280" customFormat="1">
      <c r="B48" s="281"/>
      <c r="E48" s="280" t="s">
        <v>483</v>
      </c>
      <c r="L48" s="280" t="s">
        <v>480</v>
      </c>
    </row>
    <row r="49" spans="2:12" s="280" customFormat="1">
      <c r="B49" s="281"/>
    </row>
    <row r="50" spans="2:12" s="280" customFormat="1">
      <c r="B50" s="281"/>
      <c r="E50" s="280" t="s">
        <v>481</v>
      </c>
      <c r="L50" s="280" t="s">
        <v>482</v>
      </c>
    </row>
    <row r="51" spans="2:12" s="280" customFormat="1">
      <c r="B51" s="281"/>
    </row>
    <row r="52" spans="2:12" s="280" customFormat="1"/>
  </sheetData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0"/>
  <sheetViews>
    <sheetView zoomScaleNormal="100" workbookViewId="0">
      <selection activeCell="C31" sqref="C31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6" customWidth="1"/>
    <col min="9" max="9" width="4.140625" style="143" hidden="1" customWidth="1"/>
    <col min="10" max="10" width="5.140625" style="24" customWidth="1"/>
    <col min="11" max="11" width="24.5703125" style="18" customWidth="1"/>
    <col min="12" max="12" width="6" style="262" hidden="1" customWidth="1"/>
    <col min="13" max="13" width="4.42578125" style="18" hidden="1" customWidth="1"/>
    <col min="14" max="14" width="5.28515625" style="18" hidden="1" customWidth="1"/>
    <col min="15" max="15" width="6.28515625" style="168" customWidth="1"/>
    <col min="16" max="16" width="5.42578125" style="149" customWidth="1"/>
    <col min="17" max="17" width="5.7109375" style="261" bestFit="1" customWidth="1"/>
    <col min="18" max="18" width="4.28515625" style="18" bestFit="1" customWidth="1"/>
    <col min="19" max="247" width="9.140625" style="18"/>
    <col min="248" max="16384" width="9.140625" style="7"/>
  </cols>
  <sheetData>
    <row r="1" spans="1:248" s="2" customFormat="1" ht="18.75">
      <c r="A1" s="1" t="s">
        <v>0</v>
      </c>
      <c r="E1" s="3"/>
      <c r="F1" s="4"/>
      <c r="G1" s="5"/>
      <c r="H1" s="6"/>
      <c r="I1" s="143"/>
      <c r="J1" s="3"/>
      <c r="L1" s="273"/>
      <c r="O1" s="150"/>
      <c r="P1" s="149"/>
      <c r="Q1" s="272"/>
      <c r="IN1" s="7"/>
    </row>
    <row r="2" spans="1:248" s="2" customFormat="1" ht="13.5" customHeight="1">
      <c r="E2" s="3"/>
      <c r="F2" s="4"/>
      <c r="G2" s="5"/>
      <c r="H2" s="6"/>
      <c r="I2" s="143"/>
      <c r="J2" s="3"/>
      <c r="K2" s="8" t="s">
        <v>1</v>
      </c>
      <c r="L2" s="273"/>
      <c r="O2" s="150"/>
      <c r="P2" s="149"/>
      <c r="Q2" s="272"/>
      <c r="IN2" s="7"/>
    </row>
    <row r="3" spans="1:248" s="9" customFormat="1" ht="4.5" customHeight="1">
      <c r="C3" s="10"/>
      <c r="E3" s="271">
        <v>1.1574074074074073E-5</v>
      </c>
      <c r="F3" s="12"/>
      <c r="G3" s="13"/>
      <c r="H3" s="14"/>
      <c r="I3" s="148"/>
      <c r="J3" s="16"/>
      <c r="K3" s="17"/>
      <c r="L3" s="262"/>
      <c r="O3" s="168"/>
      <c r="P3" s="149"/>
      <c r="Q3" s="70"/>
    </row>
    <row r="4" spans="1:248" ht="15.75">
      <c r="C4" s="19" t="s">
        <v>466</v>
      </c>
      <c r="E4" s="20"/>
      <c r="F4" s="21"/>
      <c r="K4" s="25" t="s">
        <v>3</v>
      </c>
    </row>
    <row r="5" spans="1:248" s="9" customFormat="1" ht="4.5" customHeight="1">
      <c r="C5" s="10"/>
      <c r="E5" s="26"/>
      <c r="F5" s="12"/>
      <c r="G5" s="13"/>
      <c r="H5" s="14"/>
      <c r="I5" s="148"/>
      <c r="J5" s="16"/>
      <c r="K5" s="17"/>
      <c r="L5" s="262"/>
      <c r="O5" s="168"/>
      <c r="P5" s="149"/>
      <c r="Q5" s="70"/>
    </row>
    <row r="6" spans="1:248" s="9" customFormat="1" ht="12.75" customHeight="1">
      <c r="C6" s="18"/>
      <c r="D6" s="27">
        <v>1</v>
      </c>
      <c r="E6" s="28" t="s">
        <v>456</v>
      </c>
      <c r="F6" s="29"/>
      <c r="G6" s="13"/>
      <c r="H6" s="14"/>
      <c r="I6" s="148"/>
      <c r="J6" s="16"/>
      <c r="K6" s="17"/>
      <c r="L6" s="262"/>
      <c r="O6" s="168"/>
      <c r="P6" s="149"/>
      <c r="Q6" s="70"/>
    </row>
    <row r="7" spans="1:248" s="9" customFormat="1" ht="6" customHeight="1">
      <c r="E7" s="30"/>
      <c r="F7" s="31"/>
      <c r="G7" s="13"/>
      <c r="H7" s="32"/>
      <c r="I7" s="148"/>
      <c r="J7" s="16"/>
      <c r="K7" s="17"/>
      <c r="L7" s="262"/>
      <c r="O7" s="168"/>
      <c r="P7" s="149"/>
      <c r="Q7" s="70"/>
    </row>
    <row r="8" spans="1:248" ht="11.25" customHeight="1">
      <c r="A8" s="33" t="s">
        <v>29</v>
      </c>
      <c r="B8" s="270" t="s">
        <v>4</v>
      </c>
      <c r="C8" s="269" t="s">
        <v>5</v>
      </c>
      <c r="D8" s="268" t="s">
        <v>6</v>
      </c>
      <c r="E8" s="267" t="s">
        <v>7</v>
      </c>
      <c r="F8" s="38" t="s">
        <v>8</v>
      </c>
      <c r="G8" s="39" t="s">
        <v>9</v>
      </c>
      <c r="H8" s="40" t="s">
        <v>10</v>
      </c>
      <c r="I8" s="156" t="s">
        <v>101</v>
      </c>
      <c r="J8" s="42" t="s">
        <v>12</v>
      </c>
      <c r="K8" s="33" t="s">
        <v>13</v>
      </c>
      <c r="L8" s="262" t="s">
        <v>455</v>
      </c>
      <c r="M8" s="18" t="s">
        <v>104</v>
      </c>
      <c r="N8" s="18" t="s">
        <v>99</v>
      </c>
      <c r="P8" s="157"/>
      <c r="S8" s="9"/>
    </row>
    <row r="9" spans="1:248" s="54" customFormat="1" ht="16.350000000000001" customHeight="1">
      <c r="A9" s="43">
        <v>1</v>
      </c>
      <c r="B9" s="44">
        <v>259</v>
      </c>
      <c r="C9" s="160" t="s">
        <v>465</v>
      </c>
      <c r="D9" s="161" t="s">
        <v>464</v>
      </c>
      <c r="E9" s="185" t="s">
        <v>463</v>
      </c>
      <c r="F9" s="196" t="s">
        <v>88</v>
      </c>
      <c r="G9" s="91">
        <f>IF(ISBLANK(H9),"",TRUNC(0.3224*((H9/$E$3)-112)^2))</f>
        <v>525</v>
      </c>
      <c r="H9" s="266">
        <v>8.2893518518518516E-4</v>
      </c>
      <c r="I9" s="265"/>
      <c r="J9" s="264" t="str">
        <f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/>
      </c>
      <c r="K9" s="52" t="s">
        <v>462</v>
      </c>
      <c r="L9" s="263" t="s">
        <v>108</v>
      </c>
      <c r="M9" s="263">
        <v>1</v>
      </c>
      <c r="N9" s="263">
        <v>2</v>
      </c>
      <c r="O9" s="168"/>
      <c r="P9" s="157"/>
      <c r="Q9" s="261"/>
      <c r="R9" s="18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</row>
    <row r="10" spans="1:248" s="54" customFormat="1" ht="16.350000000000001" customHeight="1">
      <c r="A10" s="43">
        <v>2</v>
      </c>
      <c r="B10" s="44">
        <v>253</v>
      </c>
      <c r="C10" s="160" t="s">
        <v>14</v>
      </c>
      <c r="D10" s="161" t="s">
        <v>461</v>
      </c>
      <c r="E10" s="185" t="s">
        <v>460</v>
      </c>
      <c r="F10" s="196" t="s">
        <v>75</v>
      </c>
      <c r="G10" s="91">
        <f>IF(ISBLANK(H10),"",TRUNC(0.3224*((H10/$E$3)-112)^2))</f>
        <v>403</v>
      </c>
      <c r="H10" s="266">
        <v>8.8692129629629624E-4</v>
      </c>
      <c r="I10" s="265"/>
      <c r="J10" s="264" t="str">
        <f>IF(ISBLANK(H10),"",IF(H10&gt;0.00082337962962963,"",IF(H10&lt;=0.000616898148148148,"TSM",IF(H10&lt;=0.000638310185185185,"SM",IF(H10&lt;=0.000671296296296296,"KSM",IF(H10&lt;=0.000707175925925926,"I A",IF(H10&lt;=0.000753935185185185,"II A",IF(H10&lt;=0.00082337962962963,"III A"))))))))</f>
        <v/>
      </c>
      <c r="K10" s="52" t="s">
        <v>459</v>
      </c>
      <c r="L10" s="263" t="s">
        <v>108</v>
      </c>
      <c r="M10" s="263">
        <v>1</v>
      </c>
      <c r="N10" s="263">
        <v>1</v>
      </c>
      <c r="O10" s="168"/>
      <c r="P10" s="157"/>
      <c r="Q10" s="261"/>
      <c r="R10" s="18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</row>
    <row r="11" spans="1:248" s="54" customFormat="1" ht="16.350000000000001" customHeight="1">
      <c r="A11" s="43" t="s">
        <v>23</v>
      </c>
      <c r="B11" s="44">
        <v>271</v>
      </c>
      <c r="C11" s="160" t="s">
        <v>141</v>
      </c>
      <c r="D11" s="161" t="s">
        <v>458</v>
      </c>
      <c r="E11" s="185" t="s">
        <v>457</v>
      </c>
      <c r="F11" s="196" t="s">
        <v>22</v>
      </c>
      <c r="G11" s="91" t="s">
        <v>23</v>
      </c>
      <c r="H11" s="266">
        <v>7.8738425925925927E-4</v>
      </c>
      <c r="I11" s="265"/>
      <c r="J11" s="264" t="str">
        <f>IF(ISBLANK(H11),"",IF(H11&gt;0.00082337962962963,"",IF(H11&lt;=0.000616898148148148,"TSM",IF(H11&lt;=0.000638310185185185,"SM",IF(H11&lt;=0.000671296296296296,"KSM",IF(H11&lt;=0.000707175925925926,"I A",IF(H11&lt;=0.000753935185185185,"II A",IF(H11&lt;=0.00082337962962963,"III A"))))))))</f>
        <v>III A</v>
      </c>
      <c r="K11" s="52" t="s">
        <v>389</v>
      </c>
      <c r="L11" s="263" t="s">
        <v>108</v>
      </c>
      <c r="M11" s="263">
        <v>1</v>
      </c>
      <c r="N11" s="263">
        <v>4</v>
      </c>
      <c r="O11" s="168"/>
      <c r="P11" s="157"/>
      <c r="Q11" s="261"/>
      <c r="R11" s="18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</row>
    <row r="12" spans="1:248" s="54" customFormat="1" ht="16.350000000000001" customHeight="1">
      <c r="A12" s="43"/>
      <c r="B12" s="44">
        <v>333</v>
      </c>
      <c r="C12" s="160" t="s">
        <v>202</v>
      </c>
      <c r="D12" s="161" t="s">
        <v>203</v>
      </c>
      <c r="E12" s="185" t="s">
        <v>204</v>
      </c>
      <c r="F12" s="196" t="s">
        <v>205</v>
      </c>
      <c r="G12" s="91" t="s">
        <v>23</v>
      </c>
      <c r="H12" s="266" t="s">
        <v>30</v>
      </c>
      <c r="I12" s="265"/>
      <c r="J12" s="264" t="str">
        <f>IF(ISBLANK(H12),"",IF(H12&gt;0.00082337962962963,"",IF(H12&lt;=0.000616898148148148,"TSM",IF(H12&lt;=0.000638310185185185,"SM",IF(H12&lt;=0.000671296296296296,"KSM",IF(H12&lt;=0.000707175925925926,"I A",IF(H12&lt;=0.000753935185185185,"II A",IF(H12&lt;=0.00082337962962963,"III A"))))))))</f>
        <v/>
      </c>
      <c r="K12" s="52" t="s">
        <v>206</v>
      </c>
      <c r="L12" s="263" t="s">
        <v>108</v>
      </c>
      <c r="M12" s="263">
        <v>1</v>
      </c>
      <c r="N12" s="263">
        <v>3</v>
      </c>
      <c r="O12" s="168"/>
      <c r="P12" s="157"/>
      <c r="Q12" s="261"/>
      <c r="R12" s="18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</row>
    <row r="13" spans="1:248" s="9" customFormat="1" ht="4.5" customHeight="1">
      <c r="C13" s="10"/>
      <c r="E13" s="26"/>
      <c r="F13" s="12"/>
      <c r="G13" s="13"/>
      <c r="H13" s="14"/>
      <c r="I13" s="148"/>
      <c r="J13" s="16"/>
      <c r="K13" s="17"/>
      <c r="L13" s="262"/>
      <c r="O13" s="168"/>
      <c r="P13" s="149"/>
      <c r="Q13" s="70"/>
    </row>
    <row r="14" spans="1:248" s="9" customFormat="1" ht="12.75" customHeight="1">
      <c r="C14" s="18"/>
      <c r="D14" s="27">
        <v>2</v>
      </c>
      <c r="E14" s="28" t="s">
        <v>456</v>
      </c>
      <c r="F14" s="29"/>
      <c r="G14" s="13"/>
      <c r="H14" s="14"/>
      <c r="I14" s="148"/>
      <c r="J14" s="16"/>
      <c r="K14" s="17"/>
      <c r="L14" s="262"/>
      <c r="O14" s="168"/>
      <c r="P14" s="149"/>
      <c r="Q14" s="70"/>
    </row>
    <row r="15" spans="1:248" s="9" customFormat="1" ht="6" customHeight="1">
      <c r="E15" s="30"/>
      <c r="F15" s="31"/>
      <c r="G15" s="13"/>
      <c r="H15" s="32"/>
      <c r="I15" s="148"/>
      <c r="J15" s="16"/>
      <c r="K15" s="17"/>
      <c r="L15" s="262"/>
      <c r="O15" s="168"/>
      <c r="P15" s="149"/>
      <c r="Q15" s="70"/>
    </row>
    <row r="16" spans="1:248" ht="11.25" customHeight="1">
      <c r="A16" s="33" t="s">
        <v>29</v>
      </c>
      <c r="B16" s="270" t="s">
        <v>4</v>
      </c>
      <c r="C16" s="269" t="s">
        <v>5</v>
      </c>
      <c r="D16" s="268" t="s">
        <v>6</v>
      </c>
      <c r="E16" s="267" t="s">
        <v>7</v>
      </c>
      <c r="F16" s="38" t="s">
        <v>8</v>
      </c>
      <c r="G16" s="39" t="s">
        <v>9</v>
      </c>
      <c r="H16" s="40" t="s">
        <v>10</v>
      </c>
      <c r="I16" s="156" t="s">
        <v>101</v>
      </c>
      <c r="J16" s="42" t="s">
        <v>12</v>
      </c>
      <c r="K16" s="33" t="s">
        <v>13</v>
      </c>
      <c r="L16" s="262" t="s">
        <v>455</v>
      </c>
      <c r="M16" s="18" t="s">
        <v>104</v>
      </c>
      <c r="N16" s="18" t="s">
        <v>99</v>
      </c>
      <c r="P16" s="157"/>
      <c r="S16" s="9"/>
    </row>
    <row r="17" spans="1:246" s="54" customFormat="1" ht="16.350000000000001" customHeight="1">
      <c r="A17" s="43">
        <v>1</v>
      </c>
      <c r="B17" s="44">
        <v>373</v>
      </c>
      <c r="C17" s="160" t="s">
        <v>91</v>
      </c>
      <c r="D17" s="161" t="s">
        <v>454</v>
      </c>
      <c r="E17" s="185" t="s">
        <v>453</v>
      </c>
      <c r="F17" s="196" t="s">
        <v>17</v>
      </c>
      <c r="G17" s="91">
        <f>IF(ISBLANK(H17),"",TRUNC(0.3224*((H17/$E$3)-112)^2))</f>
        <v>832</v>
      </c>
      <c r="H17" s="266">
        <v>7.0798611111111116E-4</v>
      </c>
      <c r="I17" s="265"/>
      <c r="J17" s="264" t="str">
        <f>IF(ISBLANK(H17),"",IF(H17&gt;0.00082337962962963,"",IF(H17&lt;=0.000616898148148148,"TSM",IF(H17&lt;=0.000638310185185185,"SM",IF(H17&lt;=0.000671296296296296,"KSM",IF(H17&lt;=0.000707175925925926,"I A",IF(H17&lt;=0.000753935185185185,"II A",IF(H17&lt;=0.00082337962962963,"III A"))))))))</f>
        <v>II A</v>
      </c>
      <c r="K17" s="52" t="s">
        <v>127</v>
      </c>
      <c r="L17" s="263" t="s">
        <v>452</v>
      </c>
      <c r="M17" s="263">
        <v>2</v>
      </c>
      <c r="N17" s="263">
        <v>2</v>
      </c>
      <c r="O17" s="168"/>
      <c r="P17" s="157"/>
      <c r="Q17" s="261"/>
      <c r="R17" s="18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</row>
    <row r="18" spans="1:246" s="54" customFormat="1" ht="16.350000000000001" customHeight="1">
      <c r="A18" s="43">
        <v>2</v>
      </c>
      <c r="B18" s="44">
        <v>305</v>
      </c>
      <c r="C18" s="160" t="s">
        <v>451</v>
      </c>
      <c r="D18" s="161" t="s">
        <v>450</v>
      </c>
      <c r="E18" s="185" t="s">
        <v>135</v>
      </c>
      <c r="F18" s="196" t="s">
        <v>243</v>
      </c>
      <c r="G18" s="91">
        <f>IF(ISBLANK(H18),"",TRUNC(0.3224*((H18/$E$3)-112)^2))</f>
        <v>769</v>
      </c>
      <c r="H18" s="266">
        <v>7.3101851851851843E-4</v>
      </c>
      <c r="I18" s="265"/>
      <c r="J18" s="264" t="str">
        <f>IF(ISBLANK(H18),"",IF(H18&gt;0.00082337962962963,"",IF(H18&lt;=0.000616898148148148,"TSM",IF(H18&lt;=0.000638310185185185,"SM",IF(H18&lt;=0.000671296296296296,"KSM",IF(H18&lt;=0.000707175925925926,"I A",IF(H18&lt;=0.000753935185185185,"II A",IF(H18&lt;=0.00082337962962963,"III A"))))))))</f>
        <v>II A</v>
      </c>
      <c r="K18" s="52" t="s">
        <v>449</v>
      </c>
      <c r="L18" s="263" t="s">
        <v>448</v>
      </c>
      <c r="M18" s="263">
        <v>2</v>
      </c>
      <c r="N18" s="263">
        <v>4</v>
      </c>
      <c r="O18" s="168"/>
      <c r="P18" s="157"/>
      <c r="Q18" s="261"/>
      <c r="R18" s="18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</row>
    <row r="19" spans="1:246" s="54" customFormat="1" ht="16.350000000000001" customHeight="1">
      <c r="A19" s="43" t="s">
        <v>23</v>
      </c>
      <c r="B19" s="44">
        <v>398</v>
      </c>
      <c r="C19" s="160" t="s">
        <v>197</v>
      </c>
      <c r="D19" s="161" t="s">
        <v>198</v>
      </c>
      <c r="E19" s="185" t="s">
        <v>199</v>
      </c>
      <c r="F19" s="196" t="s">
        <v>200</v>
      </c>
      <c r="G19" s="91" t="s">
        <v>23</v>
      </c>
      <c r="H19" s="266">
        <v>6.9976851851851851E-4</v>
      </c>
      <c r="I19" s="265"/>
      <c r="J19" s="264" t="str">
        <f>IF(ISBLANK(H19),"",IF(H19&gt;0.00082337962962963,"",IF(H19&lt;=0.000616898148148148,"TSM",IF(H19&lt;=0.000638310185185185,"SM",IF(H19&lt;=0.000671296296296296,"KSM",IF(H19&lt;=0.000707175925925926,"I A",IF(H19&lt;=0.000753935185185185,"II A",IF(H19&lt;=0.00082337962962963,"III A"))))))))</f>
        <v>I A</v>
      </c>
      <c r="K19" s="52" t="s">
        <v>201</v>
      </c>
      <c r="L19" s="263" t="s">
        <v>447</v>
      </c>
      <c r="M19" s="263">
        <v>2</v>
      </c>
      <c r="N19" s="263">
        <v>1</v>
      </c>
      <c r="O19" s="168"/>
      <c r="P19" s="157"/>
      <c r="Q19" s="261"/>
      <c r="R19" s="18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</row>
    <row r="20" spans="1:246" s="54" customFormat="1" ht="16.350000000000001" customHeight="1">
      <c r="A20" s="43"/>
      <c r="B20" s="44">
        <v>239</v>
      </c>
      <c r="C20" s="160" t="s">
        <v>215</v>
      </c>
      <c r="D20" s="161" t="s">
        <v>216</v>
      </c>
      <c r="E20" s="185" t="s">
        <v>217</v>
      </c>
      <c r="F20" s="196" t="s">
        <v>44</v>
      </c>
      <c r="G20" s="91"/>
      <c r="H20" s="266" t="s">
        <v>30</v>
      </c>
      <c r="I20" s="265"/>
      <c r="J20" s="264" t="str">
        <f>IF(ISBLANK(H20),"",IF(H20&gt;0.00082337962962963,"",IF(H20&lt;=0.000616898148148148,"TSM",IF(H20&lt;=0.000638310185185185,"SM",IF(H20&lt;=0.000671296296296296,"KSM",IF(H20&lt;=0.000707175925925926,"I A",IF(H20&lt;=0.000753935185185185,"II A",IF(H20&lt;=0.00082337962962963,"III A"))))))))</f>
        <v/>
      </c>
      <c r="K20" s="52" t="s">
        <v>218</v>
      </c>
      <c r="L20" s="263" t="s">
        <v>446</v>
      </c>
      <c r="M20" s="263">
        <v>2</v>
      </c>
      <c r="N20" s="263">
        <v>3</v>
      </c>
      <c r="O20" s="168"/>
      <c r="P20" s="157"/>
      <c r="Q20" s="261"/>
      <c r="R20" s="18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N16"/>
  <sheetViews>
    <sheetView zoomScaleNormal="100" workbookViewId="0">
      <selection activeCell="A2" sqref="A2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6" customWidth="1"/>
    <col min="9" max="9" width="4.140625" style="143" hidden="1" customWidth="1"/>
    <col min="10" max="10" width="5.140625" style="24" customWidth="1"/>
    <col min="11" max="11" width="24.5703125" style="18" customWidth="1"/>
    <col min="12" max="12" width="6" style="262" hidden="1" customWidth="1"/>
    <col min="13" max="13" width="4.42578125" style="18" hidden="1" customWidth="1"/>
    <col min="14" max="14" width="5.28515625" style="18" hidden="1" customWidth="1"/>
    <col min="15" max="15" width="6.28515625" style="168" customWidth="1"/>
    <col min="16" max="16" width="5.42578125" style="149" customWidth="1"/>
    <col min="17" max="17" width="5.7109375" style="261" bestFit="1" customWidth="1"/>
    <col min="18" max="18" width="4.28515625" style="18" bestFit="1" customWidth="1"/>
    <col min="19" max="247" width="9.140625" style="18"/>
    <col min="248" max="16384" width="9.140625" style="7"/>
  </cols>
  <sheetData>
    <row r="1" spans="1:248" s="2" customFormat="1" ht="18.75">
      <c r="A1" s="1" t="s">
        <v>0</v>
      </c>
      <c r="E1" s="3"/>
      <c r="F1" s="4"/>
      <c r="G1" s="5"/>
      <c r="H1" s="6"/>
      <c r="I1" s="143"/>
      <c r="J1" s="3"/>
      <c r="L1" s="273"/>
      <c r="O1" s="150"/>
      <c r="P1" s="149"/>
      <c r="Q1" s="272"/>
      <c r="IN1" s="7"/>
    </row>
    <row r="2" spans="1:248" s="2" customFormat="1" ht="13.5" customHeight="1">
      <c r="E2" s="3"/>
      <c r="F2" s="4"/>
      <c r="G2" s="5"/>
      <c r="H2" s="6"/>
      <c r="I2" s="143"/>
      <c r="J2" s="3"/>
      <c r="K2" s="8" t="s">
        <v>1</v>
      </c>
      <c r="L2" s="273"/>
      <c r="O2" s="150"/>
      <c r="P2" s="149"/>
      <c r="Q2" s="272"/>
      <c r="IN2" s="7"/>
    </row>
    <row r="3" spans="1:248" s="9" customFormat="1" ht="4.5" customHeight="1">
      <c r="C3" s="10"/>
      <c r="E3" s="271">
        <v>1.1574074074074073E-5</v>
      </c>
      <c r="F3" s="12"/>
      <c r="G3" s="13"/>
      <c r="H3" s="14"/>
      <c r="I3" s="148"/>
      <c r="J3" s="16"/>
      <c r="K3" s="17"/>
      <c r="L3" s="262"/>
      <c r="O3" s="168"/>
      <c r="P3" s="149"/>
      <c r="Q3" s="70"/>
    </row>
    <row r="4" spans="1:248" ht="15.75">
      <c r="C4" s="19" t="s">
        <v>466</v>
      </c>
      <c r="E4" s="20"/>
      <c r="F4" s="21"/>
      <c r="K4" s="25" t="s">
        <v>3</v>
      </c>
    </row>
    <row r="5" spans="1:248" s="9" customFormat="1" ht="4.5" customHeight="1">
      <c r="C5" s="10"/>
      <c r="E5" s="26"/>
      <c r="F5" s="12"/>
      <c r="G5" s="13"/>
      <c r="H5" s="14"/>
      <c r="I5" s="148"/>
      <c r="J5" s="16"/>
      <c r="K5" s="17"/>
      <c r="L5" s="262"/>
      <c r="O5" s="168"/>
      <c r="P5" s="149"/>
      <c r="Q5" s="70"/>
    </row>
    <row r="6" spans="1:248" s="9" customFormat="1" ht="12.75" customHeight="1">
      <c r="C6" s="18"/>
      <c r="D6" s="274" t="s">
        <v>445</v>
      </c>
      <c r="E6" s="28"/>
      <c r="F6" s="29"/>
      <c r="G6" s="13"/>
      <c r="H6" s="14"/>
      <c r="I6" s="148"/>
      <c r="J6" s="16"/>
      <c r="K6" s="17"/>
      <c r="L6" s="262"/>
      <c r="O6" s="168"/>
      <c r="P6" s="149"/>
      <c r="Q6" s="70"/>
    </row>
    <row r="7" spans="1:248" s="9" customFormat="1" ht="6" customHeight="1">
      <c r="E7" s="30"/>
      <c r="F7" s="31"/>
      <c r="G7" s="13"/>
      <c r="H7" s="32"/>
      <c r="I7" s="148"/>
      <c r="J7" s="16"/>
      <c r="K7" s="17"/>
      <c r="L7" s="262"/>
      <c r="O7" s="168"/>
      <c r="P7" s="149"/>
      <c r="Q7" s="70"/>
    </row>
    <row r="8" spans="1:248" ht="11.25" customHeight="1">
      <c r="A8" s="33" t="s">
        <v>29</v>
      </c>
      <c r="B8" s="270" t="s">
        <v>4</v>
      </c>
      <c r="C8" s="269" t="s">
        <v>5</v>
      </c>
      <c r="D8" s="268" t="s">
        <v>6</v>
      </c>
      <c r="E8" s="267" t="s">
        <v>7</v>
      </c>
      <c r="F8" s="38" t="s">
        <v>8</v>
      </c>
      <c r="G8" s="39" t="s">
        <v>9</v>
      </c>
      <c r="H8" s="40" t="s">
        <v>10</v>
      </c>
      <c r="I8" s="156" t="s">
        <v>101</v>
      </c>
      <c r="J8" s="42" t="s">
        <v>12</v>
      </c>
      <c r="K8" s="33" t="s">
        <v>13</v>
      </c>
      <c r="L8" s="262" t="s">
        <v>455</v>
      </c>
      <c r="M8" s="18" t="s">
        <v>104</v>
      </c>
      <c r="N8" s="18" t="s">
        <v>99</v>
      </c>
      <c r="P8" s="157"/>
      <c r="S8" s="9"/>
    </row>
    <row r="9" spans="1:248" s="54" customFormat="1" ht="16.350000000000001" customHeight="1">
      <c r="A9" s="43">
        <v>1</v>
      </c>
      <c r="B9" s="44">
        <v>373</v>
      </c>
      <c r="C9" s="160" t="s">
        <v>91</v>
      </c>
      <c r="D9" s="161" t="s">
        <v>454</v>
      </c>
      <c r="E9" s="185" t="s">
        <v>453</v>
      </c>
      <c r="F9" s="196" t="s">
        <v>17</v>
      </c>
      <c r="G9" s="91">
        <f>IF(ISBLANK(H9),"",TRUNC(0.3224*((H9/$E$3)-112)^2))</f>
        <v>832</v>
      </c>
      <c r="H9" s="266">
        <v>7.0798611111111116E-4</v>
      </c>
      <c r="I9" s="265"/>
      <c r="J9" s="264" t="str">
        <f t="shared" ref="J9:J16" si="0"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II A</v>
      </c>
      <c r="K9" s="52" t="s">
        <v>127</v>
      </c>
      <c r="L9" s="263" t="s">
        <v>452</v>
      </c>
      <c r="M9" s="263">
        <v>2</v>
      </c>
      <c r="N9" s="263">
        <v>2</v>
      </c>
      <c r="O9" s="168"/>
      <c r="P9" s="157"/>
      <c r="Q9" s="261"/>
      <c r="R9" s="18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</row>
    <row r="10" spans="1:248" s="54" customFormat="1" ht="16.350000000000001" customHeight="1">
      <c r="A10" s="43">
        <v>2</v>
      </c>
      <c r="B10" s="44">
        <v>305</v>
      </c>
      <c r="C10" s="160" t="s">
        <v>451</v>
      </c>
      <c r="D10" s="161" t="s">
        <v>450</v>
      </c>
      <c r="E10" s="185" t="s">
        <v>135</v>
      </c>
      <c r="F10" s="196" t="s">
        <v>243</v>
      </c>
      <c r="G10" s="91">
        <f>IF(ISBLANK(H10),"",TRUNC(0.3224*((H10/$E$3)-112)^2))</f>
        <v>769</v>
      </c>
      <c r="H10" s="266">
        <v>7.3101851851851843E-4</v>
      </c>
      <c r="I10" s="265"/>
      <c r="J10" s="264" t="str">
        <f t="shared" si="0"/>
        <v>II A</v>
      </c>
      <c r="K10" s="52" t="s">
        <v>449</v>
      </c>
      <c r="L10" s="263" t="s">
        <v>448</v>
      </c>
      <c r="M10" s="263">
        <v>2</v>
      </c>
      <c r="N10" s="263">
        <v>4</v>
      </c>
      <c r="O10" s="168"/>
      <c r="P10" s="157"/>
      <c r="Q10" s="261"/>
      <c r="R10" s="18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</row>
    <row r="11" spans="1:248" s="54" customFormat="1" ht="15.75" customHeight="1">
      <c r="A11" s="43">
        <v>3</v>
      </c>
      <c r="B11" s="44">
        <v>259</v>
      </c>
      <c r="C11" s="160" t="s">
        <v>465</v>
      </c>
      <c r="D11" s="161" t="s">
        <v>464</v>
      </c>
      <c r="E11" s="185" t="s">
        <v>463</v>
      </c>
      <c r="F11" s="196" t="s">
        <v>88</v>
      </c>
      <c r="G11" s="91">
        <f>IF(ISBLANK(H11),"",TRUNC(0.3224*((H11/$E$3)-112)^2))</f>
        <v>525</v>
      </c>
      <c r="H11" s="266">
        <v>8.2893518518518516E-4</v>
      </c>
      <c r="I11" s="265"/>
      <c r="J11" s="264" t="str">
        <f t="shared" si="0"/>
        <v/>
      </c>
      <c r="K11" s="52" t="s">
        <v>462</v>
      </c>
      <c r="L11" s="263" t="s">
        <v>108</v>
      </c>
      <c r="M11" s="263">
        <v>1</v>
      </c>
      <c r="N11" s="263">
        <v>2</v>
      </c>
      <c r="O11" s="168"/>
      <c r="P11" s="157"/>
      <c r="Q11" s="261"/>
      <c r="R11" s="18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</row>
    <row r="12" spans="1:248" s="54" customFormat="1" ht="15.75" customHeight="1">
      <c r="A12" s="43">
        <v>4</v>
      </c>
      <c r="B12" s="44">
        <v>253</v>
      </c>
      <c r="C12" s="160" t="s">
        <v>14</v>
      </c>
      <c r="D12" s="161" t="s">
        <v>461</v>
      </c>
      <c r="E12" s="185" t="s">
        <v>460</v>
      </c>
      <c r="F12" s="196" t="s">
        <v>75</v>
      </c>
      <c r="G12" s="91">
        <f>IF(ISBLANK(H12),"",TRUNC(0.3224*((H12/$E$3)-112)^2))</f>
        <v>403</v>
      </c>
      <c r="H12" s="266">
        <v>8.8692129629629624E-4</v>
      </c>
      <c r="I12" s="265"/>
      <c r="J12" s="264" t="str">
        <f t="shared" si="0"/>
        <v/>
      </c>
      <c r="K12" s="52" t="s">
        <v>459</v>
      </c>
      <c r="L12" s="263" t="s">
        <v>108</v>
      </c>
      <c r="M12" s="263">
        <v>1</v>
      </c>
      <c r="N12" s="263">
        <v>1</v>
      </c>
      <c r="O12" s="168"/>
      <c r="P12" s="157"/>
      <c r="Q12" s="261"/>
      <c r="R12" s="18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</row>
    <row r="13" spans="1:248" s="54" customFormat="1" ht="16.350000000000001" customHeight="1">
      <c r="A13" s="91" t="s">
        <v>23</v>
      </c>
      <c r="B13" s="44">
        <v>398</v>
      </c>
      <c r="C13" s="160" t="s">
        <v>197</v>
      </c>
      <c r="D13" s="161" t="s">
        <v>198</v>
      </c>
      <c r="E13" s="185" t="s">
        <v>199</v>
      </c>
      <c r="F13" s="196" t="s">
        <v>200</v>
      </c>
      <c r="G13" s="91" t="s">
        <v>23</v>
      </c>
      <c r="H13" s="266">
        <v>6.9976851851851851E-4</v>
      </c>
      <c r="I13" s="265"/>
      <c r="J13" s="264" t="str">
        <f t="shared" si="0"/>
        <v>I A</v>
      </c>
      <c r="K13" s="52" t="s">
        <v>201</v>
      </c>
      <c r="L13" s="263" t="s">
        <v>447</v>
      </c>
      <c r="M13" s="263">
        <v>2</v>
      </c>
      <c r="N13" s="263">
        <v>1</v>
      </c>
      <c r="O13" s="168"/>
      <c r="P13" s="157"/>
      <c r="Q13" s="261"/>
      <c r="R13" s="18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</row>
    <row r="14" spans="1:248" s="54" customFormat="1" ht="15.75" customHeight="1">
      <c r="A14" s="91" t="s">
        <v>23</v>
      </c>
      <c r="B14" s="44">
        <v>271</v>
      </c>
      <c r="C14" s="160" t="s">
        <v>141</v>
      </c>
      <c r="D14" s="161" t="s">
        <v>458</v>
      </c>
      <c r="E14" s="185" t="s">
        <v>457</v>
      </c>
      <c r="F14" s="196" t="s">
        <v>22</v>
      </c>
      <c r="G14" s="91" t="s">
        <v>23</v>
      </c>
      <c r="H14" s="266">
        <v>7.8738425925925927E-4</v>
      </c>
      <c r="I14" s="265"/>
      <c r="J14" s="264" t="str">
        <f t="shared" si="0"/>
        <v>III A</v>
      </c>
      <c r="K14" s="52" t="s">
        <v>389</v>
      </c>
      <c r="L14" s="263" t="s">
        <v>108</v>
      </c>
      <c r="M14" s="263">
        <v>1</v>
      </c>
      <c r="N14" s="263">
        <v>4</v>
      </c>
      <c r="O14" s="168"/>
      <c r="P14" s="157"/>
      <c r="Q14" s="261"/>
      <c r="R14" s="18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</row>
    <row r="15" spans="1:248" s="54" customFormat="1" ht="15.75" customHeight="1">
      <c r="A15" s="91"/>
      <c r="B15" s="44">
        <v>333</v>
      </c>
      <c r="C15" s="160" t="s">
        <v>202</v>
      </c>
      <c r="D15" s="161" t="s">
        <v>203</v>
      </c>
      <c r="E15" s="185" t="s">
        <v>204</v>
      </c>
      <c r="F15" s="196" t="s">
        <v>205</v>
      </c>
      <c r="G15" s="91" t="s">
        <v>23</v>
      </c>
      <c r="H15" s="266" t="s">
        <v>30</v>
      </c>
      <c r="I15" s="265"/>
      <c r="J15" s="264" t="str">
        <f t="shared" si="0"/>
        <v/>
      </c>
      <c r="K15" s="52" t="s">
        <v>206</v>
      </c>
      <c r="L15" s="263" t="s">
        <v>108</v>
      </c>
      <c r="M15" s="263">
        <v>1</v>
      </c>
      <c r="N15" s="263">
        <v>3</v>
      </c>
      <c r="O15" s="168"/>
      <c r="P15" s="157"/>
      <c r="Q15" s="261"/>
      <c r="R15" s="18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</row>
    <row r="16" spans="1:248" s="54" customFormat="1" ht="15.75" customHeight="1">
      <c r="A16" s="91"/>
      <c r="B16" s="44">
        <v>239</v>
      </c>
      <c r="C16" s="160" t="s">
        <v>215</v>
      </c>
      <c r="D16" s="161" t="s">
        <v>216</v>
      </c>
      <c r="E16" s="185" t="s">
        <v>217</v>
      </c>
      <c r="F16" s="196" t="s">
        <v>44</v>
      </c>
      <c r="G16" s="91"/>
      <c r="H16" s="266" t="s">
        <v>30</v>
      </c>
      <c r="I16" s="265"/>
      <c r="J16" s="264" t="str">
        <f t="shared" si="0"/>
        <v/>
      </c>
      <c r="K16" s="52" t="s">
        <v>218</v>
      </c>
      <c r="L16" s="263" t="s">
        <v>446</v>
      </c>
      <c r="M16" s="263">
        <v>2</v>
      </c>
      <c r="N16" s="263">
        <v>3</v>
      </c>
      <c r="O16" s="168"/>
      <c r="P16" s="157"/>
      <c r="Q16" s="261"/>
      <c r="R16" s="18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3"/>
  <sheetViews>
    <sheetView zoomScaleNormal="100" workbookViewId="0">
      <selection activeCell="H37" sqref="H37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168" customWidth="1"/>
    <col min="6" max="6" width="12.5703125" style="56" customWidth="1"/>
    <col min="7" max="7" width="6.42578125" style="22" customWidth="1"/>
    <col min="8" max="8" width="9" style="71" customWidth="1"/>
    <col min="9" max="9" width="4.140625" style="143" hidden="1" customWidth="1"/>
    <col min="10" max="10" width="5.140625" style="24" customWidth="1"/>
    <col min="11" max="11" width="28.28515625" style="18" customWidth="1"/>
    <col min="12" max="12" width="6.85546875" style="149" hidden="1" customWidth="1"/>
    <col min="13" max="13" width="4.42578125" style="18" hidden="1" customWidth="1"/>
    <col min="14" max="14" width="4.28515625" style="149" hidden="1" customWidth="1"/>
    <col min="15" max="15" width="17.42578125" style="18" bestFit="1" customWidth="1"/>
    <col min="16" max="238" width="9.140625" style="18"/>
    <col min="239" max="16384" width="9.140625" style="7"/>
  </cols>
  <sheetData>
    <row r="1" spans="1:239" s="2" customFormat="1" ht="18.75">
      <c r="A1" s="1" t="s">
        <v>0</v>
      </c>
      <c r="E1" s="142"/>
      <c r="F1" s="4"/>
      <c r="G1" s="5"/>
      <c r="H1" s="71"/>
      <c r="I1" s="143"/>
      <c r="J1" s="3"/>
      <c r="L1" s="144"/>
      <c r="N1" s="149"/>
      <c r="IE1" s="7"/>
    </row>
    <row r="2" spans="1:239" s="2" customFormat="1" ht="13.5" customHeight="1">
      <c r="E2" s="142"/>
      <c r="F2" s="4"/>
      <c r="G2" s="5"/>
      <c r="H2" s="71"/>
      <c r="I2" s="143"/>
      <c r="J2" s="3"/>
      <c r="K2" s="8" t="s">
        <v>1</v>
      </c>
      <c r="L2" s="144"/>
      <c r="N2" s="149"/>
      <c r="IE2" s="7"/>
    </row>
    <row r="3" spans="1:239" s="9" customFormat="1" ht="4.5" customHeight="1">
      <c r="C3" s="10"/>
      <c r="E3" s="271">
        <v>1.1574074074074073E-5</v>
      </c>
      <c r="F3" s="12"/>
      <c r="G3" s="13"/>
      <c r="H3" s="147"/>
      <c r="I3" s="148"/>
      <c r="J3" s="16"/>
      <c r="K3" s="17"/>
      <c r="L3" s="149"/>
      <c r="N3" s="149"/>
    </row>
    <row r="4" spans="1:239" ht="15.75">
      <c r="C4" s="19" t="s">
        <v>484</v>
      </c>
      <c r="E4" s="150"/>
      <c r="F4" s="21"/>
      <c r="K4" s="25" t="s">
        <v>3</v>
      </c>
    </row>
    <row r="5" spans="1:239" s="9" customFormat="1" ht="4.5" customHeight="1">
      <c r="C5" s="10"/>
      <c r="E5" s="146"/>
      <c r="F5" s="12"/>
      <c r="G5" s="13"/>
      <c r="H5" s="147"/>
      <c r="I5" s="148"/>
      <c r="J5" s="16"/>
      <c r="K5" s="17"/>
      <c r="L5" s="149"/>
      <c r="N5" s="149"/>
    </row>
    <row r="6" spans="1:239" s="9" customFormat="1" ht="12.75" customHeight="1">
      <c r="C6" s="18"/>
      <c r="D6" s="27">
        <v>1</v>
      </c>
      <c r="E6" s="151" t="s">
        <v>444</v>
      </c>
      <c r="F6" s="29"/>
      <c r="G6" s="13"/>
      <c r="H6" s="147"/>
      <c r="I6" s="148"/>
      <c r="J6" s="16"/>
      <c r="K6" s="17"/>
      <c r="L6" s="149"/>
      <c r="N6" s="149"/>
    </row>
    <row r="7" spans="1:239" s="9" customFormat="1" ht="6" customHeight="1">
      <c r="E7" s="152"/>
      <c r="F7" s="31"/>
      <c r="G7" s="13"/>
      <c r="H7" s="153"/>
      <c r="I7" s="148"/>
      <c r="J7" s="16"/>
      <c r="K7" s="17"/>
      <c r="L7" s="149"/>
      <c r="N7" s="149"/>
    </row>
    <row r="8" spans="1:239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</v>
      </c>
      <c r="I8" s="156" t="s">
        <v>101</v>
      </c>
      <c r="J8" s="42" t="s">
        <v>12</v>
      </c>
      <c r="K8" s="33" t="s">
        <v>13</v>
      </c>
      <c r="L8" s="258" t="s">
        <v>103</v>
      </c>
      <c r="M8" s="18" t="s">
        <v>104</v>
      </c>
      <c r="N8" s="157" t="s">
        <v>99</v>
      </c>
    </row>
    <row r="9" spans="1:239" s="54" customFormat="1" ht="16.350000000000001" customHeight="1">
      <c r="A9" s="43">
        <v>1</v>
      </c>
      <c r="B9" s="292">
        <v>377</v>
      </c>
      <c r="C9" s="160" t="s">
        <v>485</v>
      </c>
      <c r="D9" s="161" t="s">
        <v>486</v>
      </c>
      <c r="E9" s="47" t="s">
        <v>487</v>
      </c>
      <c r="F9" s="48" t="s">
        <v>17</v>
      </c>
      <c r="G9" s="49">
        <f>IF(ISBLANK(H9),"",TRUNC(0.981*((H9/$E$3)-80.6)^2))</f>
        <v>707</v>
      </c>
      <c r="H9" s="293">
        <v>6.2199074074074077E-4</v>
      </c>
      <c r="I9" s="265"/>
      <c r="J9" s="294" t="str">
        <f>IF(ISBLANK(H9),"",IF(H9&gt;0.000706018518518518,"",IF(H9&lt;=0.000541666666666667,"TSM",IF(H9&lt;=0.000561342592592593,"SM",IF(H9&lt;=0.000581018518518519,"KSM",IF(H9&lt;=0.000607638888888889,"I A",IF(H9&lt;=0.000648148148148148,"II A",IF(H9&lt;=0.000706018518518518,"III A"))))))))</f>
        <v>II A</v>
      </c>
      <c r="K9" s="52" t="s">
        <v>488</v>
      </c>
      <c r="L9" s="258" t="s">
        <v>108</v>
      </c>
      <c r="M9" s="263">
        <v>4</v>
      </c>
      <c r="N9" s="263">
        <v>4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</row>
    <row r="10" spans="1:239" s="54" customFormat="1" ht="16.350000000000001" customHeight="1">
      <c r="A10" s="43">
        <v>2</v>
      </c>
      <c r="B10" s="292">
        <v>357</v>
      </c>
      <c r="C10" s="160" t="s">
        <v>489</v>
      </c>
      <c r="D10" s="161" t="s">
        <v>490</v>
      </c>
      <c r="E10" s="47" t="s">
        <v>491</v>
      </c>
      <c r="F10" s="48" t="s">
        <v>54</v>
      </c>
      <c r="G10" s="49">
        <f>IF(ISBLANK(H10),"",TRUNC(0.981*((H10/$E$3)-80.6)^2))</f>
        <v>594</v>
      </c>
      <c r="H10" s="293">
        <v>6.4791666666666665E-4</v>
      </c>
      <c r="I10" s="265"/>
      <c r="J10" s="294" t="str">
        <f>IF(ISBLANK(H10),"",IF(H10&gt;0.000706018518518518,"",IF(H10&lt;=0.000541666666666667,"TSM",IF(H10&lt;=0.000561342592592593,"SM",IF(H10&lt;=0.000581018518518519,"KSM",IF(H10&lt;=0.000607638888888889,"I A",IF(H10&lt;=0.000648148148148148,"II A",IF(H10&lt;=0.000706018518518518,"III A"))))))))</f>
        <v>II A</v>
      </c>
      <c r="K10" s="52" t="s">
        <v>79</v>
      </c>
      <c r="L10" s="258" t="s">
        <v>108</v>
      </c>
      <c r="M10" s="263">
        <v>2</v>
      </c>
      <c r="N10" s="263">
        <v>2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</row>
    <row r="11" spans="1:239" s="54" customFormat="1" ht="16.350000000000001" customHeight="1">
      <c r="A11" s="43">
        <v>3</v>
      </c>
      <c r="B11" s="292">
        <v>358</v>
      </c>
      <c r="C11" s="160" t="s">
        <v>492</v>
      </c>
      <c r="D11" s="161" t="s">
        <v>493</v>
      </c>
      <c r="E11" s="47" t="s">
        <v>494</v>
      </c>
      <c r="F11" s="48" t="s">
        <v>54</v>
      </c>
      <c r="G11" s="49">
        <f>IF(ISBLANK(H11),"",TRUNC(0.981*((H11/$E$3)-80.6)^2))</f>
        <v>495</v>
      </c>
      <c r="H11" s="293">
        <v>6.7280092592592597E-4</v>
      </c>
      <c r="I11" s="265"/>
      <c r="J11" s="294" t="str">
        <f>IF(ISBLANK(H11),"",IF(H11&gt;0.000706018518518518,"",IF(H11&lt;=0.000541666666666667,"TSM",IF(H11&lt;=0.000561342592592593,"SM",IF(H11&lt;=0.000581018518518519,"KSM",IF(H11&lt;=0.000607638888888889,"I A",IF(H11&lt;=0.000648148148148148,"II A",IF(H11&lt;=0.000706018518518518,"III A"))))))))</f>
        <v>III A</v>
      </c>
      <c r="K11" s="52" t="s">
        <v>495</v>
      </c>
      <c r="L11" s="258" t="s">
        <v>108</v>
      </c>
      <c r="M11" s="263">
        <v>3</v>
      </c>
      <c r="N11" s="263">
        <v>3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</row>
    <row r="12" spans="1:239" s="9" customFormat="1" ht="4.5" customHeight="1">
      <c r="C12" s="10"/>
      <c r="E12" s="146"/>
      <c r="F12" s="12"/>
      <c r="G12" s="13"/>
      <c r="H12" s="147"/>
      <c r="I12" s="148"/>
      <c r="J12" s="16"/>
      <c r="K12" s="17"/>
      <c r="L12" s="149"/>
      <c r="N12" s="149"/>
    </row>
    <row r="13" spans="1:239" s="9" customFormat="1" ht="12.75" customHeight="1">
      <c r="C13" s="18"/>
      <c r="D13" s="27">
        <v>2</v>
      </c>
      <c r="E13" s="151" t="s">
        <v>444</v>
      </c>
      <c r="F13" s="29"/>
      <c r="G13" s="13"/>
      <c r="H13" s="147"/>
      <c r="I13" s="148"/>
      <c r="J13" s="16"/>
      <c r="K13" s="17"/>
      <c r="L13" s="149"/>
      <c r="N13" s="149"/>
    </row>
    <row r="14" spans="1:239" s="9" customFormat="1" ht="6" customHeight="1">
      <c r="E14" s="152"/>
      <c r="F14" s="31"/>
      <c r="G14" s="13"/>
      <c r="H14" s="153"/>
      <c r="I14" s="148"/>
      <c r="J14" s="16"/>
      <c r="K14" s="17"/>
      <c r="L14" s="149"/>
      <c r="N14" s="149"/>
    </row>
    <row r="15" spans="1:239" ht="11.25" customHeight="1">
      <c r="A15" s="33" t="s">
        <v>29</v>
      </c>
      <c r="B15" s="33" t="s">
        <v>4</v>
      </c>
      <c r="C15" s="35" t="s">
        <v>5</v>
      </c>
      <c r="D15" s="36" t="s">
        <v>6</v>
      </c>
      <c r="E15" s="154" t="s">
        <v>7</v>
      </c>
      <c r="F15" s="38" t="s">
        <v>8</v>
      </c>
      <c r="G15" s="39" t="s">
        <v>9</v>
      </c>
      <c r="H15" s="155" t="s">
        <v>10</v>
      </c>
      <c r="I15" s="156" t="s">
        <v>101</v>
      </c>
      <c r="J15" s="42" t="s">
        <v>12</v>
      </c>
      <c r="K15" s="33" t="s">
        <v>13</v>
      </c>
      <c r="L15" s="258" t="s">
        <v>103</v>
      </c>
      <c r="M15" s="18" t="s">
        <v>104</v>
      </c>
      <c r="N15" s="157" t="s">
        <v>99</v>
      </c>
    </row>
    <row r="16" spans="1:239" s="54" customFormat="1" ht="16.350000000000001" customHeight="1">
      <c r="A16" s="43">
        <v>1</v>
      </c>
      <c r="B16" s="292">
        <v>327</v>
      </c>
      <c r="C16" s="160" t="s">
        <v>268</v>
      </c>
      <c r="D16" s="161" t="s">
        <v>496</v>
      </c>
      <c r="E16" s="47" t="s">
        <v>497</v>
      </c>
      <c r="F16" s="48" t="s">
        <v>22</v>
      </c>
      <c r="G16" s="49" t="s">
        <v>23</v>
      </c>
      <c r="H16" s="293">
        <v>6.4212962962962954E-4</v>
      </c>
      <c r="I16" s="265"/>
      <c r="J16" s="294" t="str">
        <f>IF(ISBLANK(H16),"",IF(H16&gt;0.000706018518518518,"",IF(H16&lt;=0.000541666666666667,"TSM",IF(H16&lt;=0.000561342592592593,"SM",IF(H16&lt;=0.000581018518518519,"KSM",IF(H16&lt;=0.000607638888888889,"I A",IF(H16&lt;=0.000648148148148148,"II A",IF(H16&lt;=0.000706018518518518,"III A"))))))))</f>
        <v>II A</v>
      </c>
      <c r="K16" s="52" t="s">
        <v>160</v>
      </c>
      <c r="L16" s="258" t="s">
        <v>498</v>
      </c>
      <c r="M16" s="263">
        <v>3</v>
      </c>
      <c r="N16" s="263">
        <v>3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</row>
    <row r="17" spans="1:239" s="54" customFormat="1" ht="16.350000000000001" customHeight="1">
      <c r="A17" s="43">
        <v>2</v>
      </c>
      <c r="B17" s="292">
        <v>273</v>
      </c>
      <c r="C17" s="160" t="s">
        <v>386</v>
      </c>
      <c r="D17" s="161" t="s">
        <v>387</v>
      </c>
      <c r="E17" s="47" t="s">
        <v>388</v>
      </c>
      <c r="F17" s="48" t="s">
        <v>22</v>
      </c>
      <c r="G17" s="49" t="s">
        <v>23</v>
      </c>
      <c r="H17" s="293">
        <v>6.7233796296296301E-4</v>
      </c>
      <c r="I17" s="265"/>
      <c r="J17" s="294" t="str">
        <f>IF(ISBLANK(H17),"",IF(H17&gt;0.000706018518518518,"",IF(H17&lt;=0.000541666666666667,"TSM",IF(H17&lt;=0.000561342592592593,"SM",IF(H17&lt;=0.000581018518518519,"KSM",IF(H17&lt;=0.000607638888888889,"I A",IF(H17&lt;=0.000648148148148148,"II A",IF(H17&lt;=0.000706018518518518,"III A"))))))))</f>
        <v>III A</v>
      </c>
      <c r="K17" s="52" t="s">
        <v>389</v>
      </c>
      <c r="L17" s="258" t="s">
        <v>499</v>
      </c>
      <c r="M17" s="263">
        <v>2</v>
      </c>
      <c r="N17" s="263">
        <v>2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</row>
    <row r="18" spans="1:239" s="54" customFormat="1" ht="16.350000000000001" customHeight="1">
      <c r="A18" s="43">
        <v>3</v>
      </c>
      <c r="B18" s="292">
        <v>294</v>
      </c>
      <c r="C18" s="160" t="s">
        <v>500</v>
      </c>
      <c r="D18" s="161" t="s">
        <v>501</v>
      </c>
      <c r="E18" s="47" t="s">
        <v>502</v>
      </c>
      <c r="F18" s="48" t="s">
        <v>212</v>
      </c>
      <c r="G18" s="49">
        <f>IF(ISBLANK(H18),"",TRUNC(0.981*((H18/$E$3)-80.6)^2))</f>
        <v>441</v>
      </c>
      <c r="H18" s="293">
        <v>6.8738425925925922E-4</v>
      </c>
      <c r="I18" s="265"/>
      <c r="J18" s="294" t="str">
        <f>IF(ISBLANK(H18),"",IF(H18&gt;0.000706018518518518,"",IF(H18&lt;=0.000541666666666667,"TSM",IF(H18&lt;=0.000561342592592593,"SM",IF(H18&lt;=0.000581018518518519,"KSM",IF(H18&lt;=0.000607638888888889,"I A",IF(H18&lt;=0.000648148148148148,"II A",IF(H18&lt;=0.000706018518518518,"III A"))))))))</f>
        <v>III A</v>
      </c>
      <c r="K18" s="52" t="s">
        <v>503</v>
      </c>
      <c r="L18" s="258" t="s">
        <v>504</v>
      </c>
      <c r="M18" s="263">
        <v>1</v>
      </c>
      <c r="N18" s="263">
        <v>1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</row>
    <row r="19" spans="1:239" s="54" customFormat="1" ht="16.350000000000001" customHeight="1">
      <c r="A19" s="43">
        <v>4</v>
      </c>
      <c r="B19" s="292">
        <v>367</v>
      </c>
      <c r="C19" s="160" t="s">
        <v>268</v>
      </c>
      <c r="D19" s="161" t="s">
        <v>505</v>
      </c>
      <c r="E19" s="47" t="s">
        <v>506</v>
      </c>
      <c r="F19" s="48" t="s">
        <v>184</v>
      </c>
      <c r="G19" s="49"/>
      <c r="H19" s="295" t="s">
        <v>30</v>
      </c>
      <c r="I19" s="265"/>
      <c r="J19" s="294" t="str">
        <f>IF(ISBLANK(H19),"",IF(H19&gt;0.000706018518518518,"",IF(H19&lt;=0.000541666666666667,"TSM",IF(H19&lt;=0.000561342592592593,"SM",IF(H19&lt;=0.000581018518518519,"KSM",IF(H19&lt;=0.000607638888888889,"I A",IF(H19&lt;=0.000648148148148148,"II A",IF(H19&lt;=0.000706018518518518,"III A"))))))))</f>
        <v/>
      </c>
      <c r="K19" s="52" t="s">
        <v>507</v>
      </c>
      <c r="L19" s="258" t="s">
        <v>508</v>
      </c>
      <c r="M19" s="263">
        <v>4</v>
      </c>
      <c r="N19" s="263">
        <v>4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</row>
    <row r="20" spans="1:239" s="9" customFormat="1" ht="4.5" customHeight="1">
      <c r="C20" s="10"/>
      <c r="E20" s="146"/>
      <c r="F20" s="12"/>
      <c r="G20" s="13"/>
      <c r="H20" s="147"/>
      <c r="I20" s="148"/>
      <c r="J20" s="16"/>
      <c r="K20" s="17"/>
      <c r="L20" s="149"/>
      <c r="N20" s="149"/>
    </row>
    <row r="21" spans="1:239" s="9" customFormat="1" ht="12.75" customHeight="1">
      <c r="C21" s="18"/>
      <c r="D21" s="27">
        <v>3</v>
      </c>
      <c r="E21" s="151" t="s">
        <v>444</v>
      </c>
      <c r="F21" s="29"/>
      <c r="G21" s="13"/>
      <c r="H21" s="147"/>
      <c r="I21" s="148"/>
      <c r="J21" s="16"/>
      <c r="K21" s="17"/>
      <c r="L21" s="149"/>
      <c r="N21" s="149"/>
    </row>
    <row r="22" spans="1:239" s="9" customFormat="1" ht="6" customHeight="1">
      <c r="E22" s="152"/>
      <c r="F22" s="31"/>
      <c r="G22" s="13"/>
      <c r="H22" s="153"/>
      <c r="I22" s="148"/>
      <c r="J22" s="16"/>
      <c r="K22" s="17"/>
      <c r="L22" s="149"/>
      <c r="N22" s="149"/>
    </row>
    <row r="23" spans="1:239" ht="11.25" customHeight="1">
      <c r="A23" s="33" t="s">
        <v>29</v>
      </c>
      <c r="B23" s="33" t="s">
        <v>4</v>
      </c>
      <c r="C23" s="35" t="s">
        <v>5</v>
      </c>
      <c r="D23" s="36" t="s">
        <v>6</v>
      </c>
      <c r="E23" s="154" t="s">
        <v>7</v>
      </c>
      <c r="F23" s="38" t="s">
        <v>8</v>
      </c>
      <c r="G23" s="39" t="s">
        <v>9</v>
      </c>
      <c r="H23" s="155" t="s">
        <v>10</v>
      </c>
      <c r="I23" s="156" t="s">
        <v>101</v>
      </c>
      <c r="J23" s="42" t="s">
        <v>12</v>
      </c>
      <c r="K23" s="33" t="s">
        <v>13</v>
      </c>
      <c r="L23" s="258" t="s">
        <v>103</v>
      </c>
      <c r="M23" s="18" t="s">
        <v>104</v>
      </c>
      <c r="N23" s="157" t="s">
        <v>99</v>
      </c>
    </row>
    <row r="24" spans="1:239" s="54" customFormat="1" ht="16.350000000000001" customHeight="1">
      <c r="A24" s="43" t="s">
        <v>23</v>
      </c>
      <c r="B24" s="292">
        <v>320</v>
      </c>
      <c r="C24" s="160" t="s">
        <v>509</v>
      </c>
      <c r="D24" s="161" t="s">
        <v>510</v>
      </c>
      <c r="E24" s="47" t="s">
        <v>511</v>
      </c>
      <c r="F24" s="48" t="s">
        <v>138</v>
      </c>
      <c r="G24" s="49" t="s">
        <v>23</v>
      </c>
      <c r="H24" s="293">
        <v>6.2395833333333324E-4</v>
      </c>
      <c r="I24" s="265"/>
      <c r="J24" s="294" t="str">
        <f>IF(ISBLANK(H24),"",IF(H24&gt;0.000706018518518518,"",IF(H24&lt;=0.000541666666666667,"TSM",IF(H24&lt;=0.000561342592592593,"SM",IF(H24&lt;=0.000581018518518519,"KSM",IF(H24&lt;=0.000607638888888889,"I A",IF(H24&lt;=0.000648148148148148,"II A",IF(H24&lt;=0.000706018518518518,"III A"))))))))</f>
        <v>II A</v>
      </c>
      <c r="K24" s="52" t="s">
        <v>244</v>
      </c>
      <c r="L24" s="258" t="s">
        <v>512</v>
      </c>
      <c r="M24" s="263">
        <v>4</v>
      </c>
      <c r="N24" s="263">
        <v>4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</row>
    <row r="25" spans="1:239" s="54" customFormat="1" ht="16.350000000000001" customHeight="1">
      <c r="A25" s="43" t="s">
        <v>23</v>
      </c>
      <c r="B25" s="292">
        <v>335</v>
      </c>
      <c r="C25" s="160" t="s">
        <v>513</v>
      </c>
      <c r="D25" s="161" t="s">
        <v>514</v>
      </c>
      <c r="E25" s="47" t="s">
        <v>515</v>
      </c>
      <c r="F25" s="48" t="s">
        <v>205</v>
      </c>
      <c r="G25" s="49" t="s">
        <v>23</v>
      </c>
      <c r="H25" s="293">
        <v>6.5358796296296291E-4</v>
      </c>
      <c r="I25" s="265"/>
      <c r="J25" s="294" t="str">
        <f>IF(ISBLANK(H25),"",IF(H25&gt;0.000706018518518518,"",IF(H25&lt;=0.000541666666666667,"TSM",IF(H25&lt;=0.000561342592592593,"SM",IF(H25&lt;=0.000581018518518519,"KSM",IF(H25&lt;=0.000607638888888889,"I A",IF(H25&lt;=0.000648148148148148,"II A",IF(H25&lt;=0.000706018518518518,"III A"))))))))</f>
        <v>III A</v>
      </c>
      <c r="K25" s="52" t="s">
        <v>256</v>
      </c>
      <c r="L25" s="258" t="s">
        <v>516</v>
      </c>
      <c r="M25" s="263">
        <v>1</v>
      </c>
      <c r="N25" s="263">
        <v>1</v>
      </c>
      <c r="O25" s="296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</row>
    <row r="26" spans="1:239" s="54" customFormat="1" ht="16.350000000000001" customHeight="1">
      <c r="A26" s="43"/>
      <c r="B26" s="292">
        <v>363</v>
      </c>
      <c r="C26" s="160" t="s">
        <v>500</v>
      </c>
      <c r="D26" s="161" t="s">
        <v>517</v>
      </c>
      <c r="E26" s="47" t="s">
        <v>518</v>
      </c>
      <c r="F26" s="48" t="s">
        <v>54</v>
      </c>
      <c r="G26" s="49"/>
      <c r="H26" s="293" t="s">
        <v>30</v>
      </c>
      <c r="I26" s="265"/>
      <c r="J26" s="294" t="str">
        <f>IF(ISBLANK(H26),"",IF(H26&gt;0.000706018518518518,"",IF(H26&lt;=0.000541666666666667,"TSM",IF(H26&lt;=0.000561342592592593,"SM",IF(H26&lt;=0.000581018518518519,"KSM",IF(H26&lt;=0.000607638888888889,"I A",IF(H26&lt;=0.000648148148148148,"II A",IF(H26&lt;=0.000706018518518518,"III A"))))))))</f>
        <v/>
      </c>
      <c r="K26" s="52" t="s">
        <v>79</v>
      </c>
      <c r="L26" s="258" t="s">
        <v>519</v>
      </c>
      <c r="M26" s="263">
        <v>2</v>
      </c>
      <c r="N26" s="263">
        <v>2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</row>
    <row r="27" spans="1:239" s="54" customFormat="1" ht="16.350000000000001" customHeight="1">
      <c r="A27" s="43"/>
      <c r="B27" s="292">
        <v>277</v>
      </c>
      <c r="C27" s="160" t="s">
        <v>361</v>
      </c>
      <c r="D27" s="161" t="s">
        <v>520</v>
      </c>
      <c r="E27" s="47" t="s">
        <v>38</v>
      </c>
      <c r="F27" s="48" t="s">
        <v>49</v>
      </c>
      <c r="G27" s="49"/>
      <c r="H27" s="295" t="s">
        <v>30</v>
      </c>
      <c r="I27" s="265"/>
      <c r="J27" s="294" t="str">
        <f>IF(ISBLANK(H27),"",IF(H27&gt;0.000706018518518518,"",IF(H27&lt;=0.000541666666666667,"TSM",IF(H27&lt;=0.000561342592592593,"SM",IF(H27&lt;=0.000581018518518519,"KSM",IF(H27&lt;=0.000607638888888889,"I A",IF(H27&lt;=0.000648148148148148,"II A",IF(H27&lt;=0.000706018518518518,"III A"))))))))</f>
        <v/>
      </c>
      <c r="K27" s="52" t="s">
        <v>488</v>
      </c>
      <c r="L27" s="258" t="s">
        <v>521</v>
      </c>
      <c r="M27" s="263">
        <v>3</v>
      </c>
      <c r="N27" s="263">
        <v>3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</row>
    <row r="28" spans="1:239" s="9" customFormat="1" ht="4.5" customHeight="1">
      <c r="C28" s="10"/>
      <c r="E28" s="146"/>
      <c r="F28" s="12"/>
      <c r="G28" s="13"/>
      <c r="H28" s="147"/>
      <c r="I28" s="148"/>
      <c r="J28" s="16"/>
      <c r="K28" s="17"/>
      <c r="L28" s="149"/>
      <c r="N28" s="149"/>
    </row>
    <row r="29" spans="1:239" s="9" customFormat="1" ht="12.75" customHeight="1">
      <c r="C29" s="18"/>
      <c r="D29" s="27">
        <v>4</v>
      </c>
      <c r="E29" s="151" t="s">
        <v>444</v>
      </c>
      <c r="F29" s="29"/>
      <c r="G29" s="13"/>
      <c r="H29" s="147"/>
      <c r="I29" s="148"/>
      <c r="J29" s="16"/>
      <c r="K29" s="17"/>
      <c r="L29" s="149"/>
      <c r="N29" s="149"/>
    </row>
    <row r="30" spans="1:239" s="9" customFormat="1" ht="6" customHeight="1">
      <c r="E30" s="152"/>
      <c r="F30" s="31"/>
      <c r="G30" s="13"/>
      <c r="H30" s="153"/>
      <c r="I30" s="148"/>
      <c r="J30" s="16"/>
      <c r="K30" s="17"/>
      <c r="L30" s="149"/>
      <c r="N30" s="149"/>
    </row>
    <row r="31" spans="1:239" ht="11.25" customHeight="1">
      <c r="A31" s="33" t="s">
        <v>29</v>
      </c>
      <c r="B31" s="33" t="s">
        <v>4</v>
      </c>
      <c r="C31" s="35" t="s">
        <v>5</v>
      </c>
      <c r="D31" s="36" t="s">
        <v>6</v>
      </c>
      <c r="E31" s="154" t="s">
        <v>7</v>
      </c>
      <c r="F31" s="38" t="s">
        <v>8</v>
      </c>
      <c r="G31" s="39" t="s">
        <v>9</v>
      </c>
      <c r="H31" s="155" t="s">
        <v>10</v>
      </c>
      <c r="I31" s="156" t="s">
        <v>101</v>
      </c>
      <c r="J31" s="42" t="s">
        <v>12</v>
      </c>
      <c r="K31" s="33" t="s">
        <v>13</v>
      </c>
      <c r="L31" s="258" t="s">
        <v>103</v>
      </c>
      <c r="M31" s="18" t="s">
        <v>104</v>
      </c>
      <c r="N31" s="157" t="s">
        <v>99</v>
      </c>
    </row>
    <row r="32" spans="1:239" s="54" customFormat="1" ht="16.350000000000001" customHeight="1">
      <c r="A32" s="43">
        <v>1</v>
      </c>
      <c r="B32" s="292">
        <v>382</v>
      </c>
      <c r="C32" s="160" t="s">
        <v>261</v>
      </c>
      <c r="D32" s="161" t="s">
        <v>522</v>
      </c>
      <c r="E32" s="47" t="s">
        <v>523</v>
      </c>
      <c r="F32" s="48" t="s">
        <v>17</v>
      </c>
      <c r="G32" s="49">
        <f>IF(ISBLANK(H32),"",TRUNC(0.981*((H32/$E$3)-80.6)^2))</f>
        <v>899</v>
      </c>
      <c r="H32" s="293">
        <v>5.8240740740740746E-4</v>
      </c>
      <c r="I32" s="265"/>
      <c r="J32" s="294" t="str">
        <f>IF(ISBLANK(H32),"",IF(H32&gt;0.000706018518518518,"",IF(H32&lt;=0.000541666666666667,"TSM",IF(H32&lt;=0.000561342592592593,"SM",IF(H32&lt;=0.000581018518518519,"KSM",IF(H32&lt;=0.000607638888888889,"I A",IF(H32&lt;=0.000648148148148148,"II A",IF(H32&lt;=0.000706018518518518,"III A"))))))))</f>
        <v>I A</v>
      </c>
      <c r="K32" s="52" t="s">
        <v>524</v>
      </c>
      <c r="L32" s="258" t="s">
        <v>525</v>
      </c>
      <c r="M32" s="263">
        <v>3</v>
      </c>
      <c r="N32" s="263">
        <v>3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</row>
    <row r="33" spans="1:239" s="54" customFormat="1" ht="16.350000000000001" customHeight="1">
      <c r="A33" s="43">
        <v>2</v>
      </c>
      <c r="B33" s="292">
        <v>378</v>
      </c>
      <c r="C33" s="160" t="s">
        <v>526</v>
      </c>
      <c r="D33" s="161" t="s">
        <v>527</v>
      </c>
      <c r="E33" s="47" t="s">
        <v>528</v>
      </c>
      <c r="F33" s="48" t="s">
        <v>17</v>
      </c>
      <c r="G33" s="49">
        <f>IF(ISBLANK(H33),"",TRUNC(0.981*((H33/$E$3)-80.6)^2))</f>
        <v>817</v>
      </c>
      <c r="H33" s="293">
        <v>5.9884259259259266E-4</v>
      </c>
      <c r="I33" s="265"/>
      <c r="J33" s="294" t="str">
        <f>IF(ISBLANK(H33),"",IF(H33&gt;0.000706018518518518,"",IF(H33&lt;=0.000541666666666667,"TSM",IF(H33&lt;=0.000561342592592593,"SM",IF(H33&lt;=0.000581018518518519,"KSM",IF(H33&lt;=0.000607638888888889,"I A",IF(H33&lt;=0.000648148148148148,"II A",IF(H33&lt;=0.000706018518518518,"III A"))))))))</f>
        <v>I A</v>
      </c>
      <c r="K33" s="52" t="s">
        <v>529</v>
      </c>
      <c r="L33" s="258" t="s">
        <v>530</v>
      </c>
      <c r="M33" s="263">
        <v>4</v>
      </c>
      <c r="N33" s="263">
        <v>4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</row>
    <row r="34" spans="1:239" s="54" customFormat="1" ht="16.350000000000001" customHeight="1">
      <c r="A34" s="43">
        <v>3</v>
      </c>
      <c r="B34" s="292">
        <v>251</v>
      </c>
      <c r="C34" s="160" t="s">
        <v>531</v>
      </c>
      <c r="D34" s="161" t="s">
        <v>532</v>
      </c>
      <c r="E34" s="47" t="s">
        <v>533</v>
      </c>
      <c r="F34" s="48" t="s">
        <v>75</v>
      </c>
      <c r="G34" s="49">
        <f>IF(ISBLANK(H34),"",TRUNC(0.981*((H34/$E$3)-80.6)^2))</f>
        <v>758</v>
      </c>
      <c r="H34" s="293">
        <v>6.1099537037037036E-4</v>
      </c>
      <c r="I34" s="265"/>
      <c r="J34" s="294" t="str">
        <f>IF(ISBLANK(H34),"",IF(H34&gt;0.000706018518518518,"",IF(H34&lt;=0.000541666666666667,"TSM",IF(H34&lt;=0.000561342592592593,"SM",IF(H34&lt;=0.000581018518518519,"KSM",IF(H34&lt;=0.000607638888888889,"I A",IF(H34&lt;=0.000648148148148148,"II A",IF(H34&lt;=0.000706018518518518,"III A"))))))))</f>
        <v>II A</v>
      </c>
      <c r="K34" s="52" t="s">
        <v>74</v>
      </c>
      <c r="L34" s="258" t="s">
        <v>534</v>
      </c>
      <c r="M34" s="263">
        <v>2</v>
      </c>
      <c r="N34" s="263">
        <v>2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</row>
    <row r="35" spans="1:239" s="54" customFormat="1" ht="16.350000000000001" customHeight="1">
      <c r="A35" s="43">
        <v>4</v>
      </c>
      <c r="B35" s="292">
        <v>291</v>
      </c>
      <c r="C35" s="160" t="s">
        <v>349</v>
      </c>
      <c r="D35" s="161" t="s">
        <v>350</v>
      </c>
      <c r="E35" s="47" t="s">
        <v>351</v>
      </c>
      <c r="F35" s="48" t="s">
        <v>49</v>
      </c>
      <c r="G35" s="49">
        <f>IF(ISBLANK(H35),"",TRUNC(0.981*((H35/$E$3)-80.6)^2))</f>
        <v>557</v>
      </c>
      <c r="H35" s="293">
        <v>6.5706018518518511E-4</v>
      </c>
      <c r="I35" s="265"/>
      <c r="J35" s="294" t="str">
        <f>IF(ISBLANK(H35),"",IF(H35&gt;0.000706018518518518,"",IF(H35&lt;=0.000541666666666667,"TSM",IF(H35&lt;=0.000561342592592593,"SM",IF(H35&lt;=0.000581018518518519,"KSM",IF(H35&lt;=0.000607638888888889,"I A",IF(H35&lt;=0.000648148148148148,"II A",IF(H35&lt;=0.000706018518518518,"III A"))))))))</f>
        <v>III A</v>
      </c>
      <c r="K35" s="52" t="s">
        <v>352</v>
      </c>
      <c r="L35" s="258" t="s">
        <v>535</v>
      </c>
      <c r="M35" s="263">
        <v>1</v>
      </c>
      <c r="N35" s="263">
        <v>1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</row>
    <row r="36" spans="1:239" s="9" customFormat="1" ht="4.5" customHeight="1">
      <c r="C36" s="10"/>
      <c r="E36" s="146"/>
      <c r="F36" s="12"/>
      <c r="G36" s="13"/>
      <c r="H36" s="147"/>
      <c r="I36" s="148"/>
      <c r="J36" s="16"/>
      <c r="K36" s="17"/>
      <c r="L36" s="149"/>
      <c r="N36" s="149"/>
    </row>
    <row r="37" spans="1:239" s="9" customFormat="1" ht="12.75" customHeight="1">
      <c r="C37" s="18"/>
      <c r="D37" s="27">
        <v>5</v>
      </c>
      <c r="E37" s="151" t="s">
        <v>444</v>
      </c>
      <c r="F37" s="29"/>
      <c r="G37" s="13"/>
      <c r="H37" s="147"/>
      <c r="I37" s="148"/>
      <c r="J37" s="16"/>
      <c r="K37" s="17"/>
      <c r="L37" s="149"/>
      <c r="N37" s="149"/>
    </row>
    <row r="38" spans="1:239" s="9" customFormat="1" ht="6" customHeight="1">
      <c r="E38" s="152"/>
      <c r="F38" s="31"/>
      <c r="G38" s="13"/>
      <c r="H38" s="153"/>
      <c r="I38" s="148"/>
      <c r="J38" s="16"/>
      <c r="K38" s="17"/>
      <c r="L38" s="149"/>
      <c r="N38" s="149"/>
    </row>
    <row r="39" spans="1:239" ht="11.25" customHeight="1">
      <c r="A39" s="33" t="s">
        <v>29</v>
      </c>
      <c r="B39" s="33" t="s">
        <v>4</v>
      </c>
      <c r="C39" s="35" t="s">
        <v>5</v>
      </c>
      <c r="D39" s="36" t="s">
        <v>6</v>
      </c>
      <c r="E39" s="154" t="s">
        <v>7</v>
      </c>
      <c r="F39" s="38" t="s">
        <v>8</v>
      </c>
      <c r="G39" s="39" t="s">
        <v>9</v>
      </c>
      <c r="H39" s="155" t="s">
        <v>10</v>
      </c>
      <c r="I39" s="156" t="s">
        <v>101</v>
      </c>
      <c r="J39" s="42" t="s">
        <v>12</v>
      </c>
      <c r="K39" s="33" t="s">
        <v>13</v>
      </c>
      <c r="L39" s="258" t="s">
        <v>103</v>
      </c>
      <c r="M39" s="18" t="s">
        <v>104</v>
      </c>
      <c r="N39" s="157" t="s">
        <v>99</v>
      </c>
    </row>
    <row r="40" spans="1:239" s="54" customFormat="1" ht="16.350000000000001" customHeight="1">
      <c r="A40" s="43">
        <v>1</v>
      </c>
      <c r="B40" s="292">
        <v>332</v>
      </c>
      <c r="C40" s="160" t="s">
        <v>536</v>
      </c>
      <c r="D40" s="161" t="s">
        <v>537</v>
      </c>
      <c r="E40" s="47" t="s">
        <v>538</v>
      </c>
      <c r="F40" s="48" t="s">
        <v>539</v>
      </c>
      <c r="G40" s="49">
        <f>IF(ISBLANK(H40),"",TRUNC(0.981*((H40/$E$3)-80.6)^2))</f>
        <v>872</v>
      </c>
      <c r="H40" s="293">
        <v>5.877314814814815E-4</v>
      </c>
      <c r="I40" s="265"/>
      <c r="J40" s="294" t="str">
        <f>IF(ISBLANK(H40),"",IF(H40&gt;0.000706018518518518,"",IF(H40&lt;=0.000541666666666667,"TSM",IF(H40&lt;=0.000561342592592593,"SM",IF(H40&lt;=0.000581018518518519,"KSM",IF(H40&lt;=0.000607638888888889,"I A",IF(H40&lt;=0.000648148148148148,"II A",IF(H40&lt;=0.000706018518518518,"III A"))))))))</f>
        <v>I A</v>
      </c>
      <c r="K40" s="52" t="s">
        <v>540</v>
      </c>
      <c r="L40" s="258" t="s">
        <v>541</v>
      </c>
      <c r="M40" s="263">
        <v>4</v>
      </c>
      <c r="N40" s="263">
        <v>4</v>
      </c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</row>
    <row r="41" spans="1:239" s="54" customFormat="1" ht="16.350000000000001" customHeight="1">
      <c r="A41" s="43">
        <v>2</v>
      </c>
      <c r="B41" s="292">
        <v>250</v>
      </c>
      <c r="C41" s="160" t="s">
        <v>542</v>
      </c>
      <c r="D41" s="161" t="s">
        <v>543</v>
      </c>
      <c r="E41" s="47" t="s">
        <v>544</v>
      </c>
      <c r="F41" s="48" t="s">
        <v>75</v>
      </c>
      <c r="G41" s="49">
        <f>IF(ISBLANK(H41),"",TRUNC(0.981*((H41/$E$3)-80.6)^2))</f>
        <v>848</v>
      </c>
      <c r="H41" s="293">
        <v>5.9247685185185184E-4</v>
      </c>
      <c r="I41" s="265"/>
      <c r="J41" s="294" t="str">
        <f>IF(ISBLANK(H41),"",IF(H41&gt;0.000706018518518518,"",IF(H41&lt;=0.000541666666666667,"TSM",IF(H41&lt;=0.000561342592592593,"SM",IF(H41&lt;=0.000581018518518519,"KSM",IF(H41&lt;=0.000607638888888889,"I A",IF(H41&lt;=0.000648148148148148,"II A",IF(H41&lt;=0.000706018518518518,"III A"))))))))</f>
        <v>I A</v>
      </c>
      <c r="K41" s="52" t="s">
        <v>545</v>
      </c>
      <c r="L41" s="258" t="s">
        <v>546</v>
      </c>
      <c r="M41" s="263">
        <v>3</v>
      </c>
      <c r="N41" s="263">
        <v>3</v>
      </c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</row>
    <row r="42" spans="1:239" s="54" customFormat="1" ht="16.350000000000001" customHeight="1">
      <c r="A42" s="43">
        <v>3</v>
      </c>
      <c r="B42" s="292">
        <v>290</v>
      </c>
      <c r="C42" s="160" t="s">
        <v>547</v>
      </c>
      <c r="D42" s="161" t="s">
        <v>548</v>
      </c>
      <c r="E42" s="47" t="s">
        <v>549</v>
      </c>
      <c r="F42" s="48" t="s">
        <v>49</v>
      </c>
      <c r="G42" s="49">
        <f>IF(ISBLANK(H42),"",TRUNC(0.981*((H42/$E$3)-80.6)^2))</f>
        <v>630</v>
      </c>
      <c r="H42" s="293">
        <v>6.3935185185185189E-4</v>
      </c>
      <c r="I42" s="265"/>
      <c r="J42" s="294" t="str">
        <f>IF(ISBLANK(H42),"",IF(H42&gt;0.000706018518518518,"",IF(H42&lt;=0.000541666666666667,"TSM",IF(H42&lt;=0.000561342592592593,"SM",IF(H42&lt;=0.000581018518518519,"KSM",IF(H42&lt;=0.000607638888888889,"I A",IF(H42&lt;=0.000648148148148148,"II A",IF(H42&lt;=0.000706018518518518,"III A"))))))))</f>
        <v>II A</v>
      </c>
      <c r="K42" s="52" t="s">
        <v>550</v>
      </c>
      <c r="L42" s="258" t="s">
        <v>551</v>
      </c>
      <c r="M42" s="263">
        <v>1</v>
      </c>
      <c r="N42" s="263">
        <v>1</v>
      </c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</row>
    <row r="43" spans="1:239" s="54" customFormat="1" ht="16.350000000000001" customHeight="1">
      <c r="A43" s="43" t="s">
        <v>552</v>
      </c>
      <c r="B43" s="292">
        <v>321</v>
      </c>
      <c r="C43" s="160" t="s">
        <v>553</v>
      </c>
      <c r="D43" s="161" t="s">
        <v>554</v>
      </c>
      <c r="E43" s="47" t="s">
        <v>555</v>
      </c>
      <c r="F43" s="48" t="s">
        <v>556</v>
      </c>
      <c r="G43" s="49" t="s">
        <v>23</v>
      </c>
      <c r="H43" s="293">
        <v>5.9363425925925925E-4</v>
      </c>
      <c r="I43" s="265"/>
      <c r="J43" s="294" t="str">
        <f>IF(ISBLANK(H43),"",IF(H43&gt;0.000706018518518518,"",IF(H43&lt;=0.000541666666666667,"TSM",IF(H43&lt;=0.000561342592592593,"SM",IF(H43&lt;=0.000581018518518519,"KSM",IF(H43&lt;=0.000607638888888889,"I A",IF(H43&lt;=0.000648148148148148,"II A",IF(H43&lt;=0.000706018518518518,"III A"))))))))</f>
        <v>I A</v>
      </c>
      <c r="K43" s="52" t="s">
        <v>557</v>
      </c>
      <c r="L43" s="258" t="s">
        <v>558</v>
      </c>
      <c r="M43" s="263">
        <v>2</v>
      </c>
      <c r="N43" s="263">
        <v>2</v>
      </c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E27"/>
  <sheetViews>
    <sheetView zoomScaleNormal="100" workbookViewId="0">
      <selection activeCell="H30" sqref="H30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168" customWidth="1"/>
    <col min="6" max="6" width="12.5703125" style="56" customWidth="1"/>
    <col min="7" max="7" width="6.42578125" style="22" customWidth="1"/>
    <col min="8" max="8" width="9" style="71" customWidth="1"/>
    <col min="9" max="9" width="4.140625" style="143" hidden="1" customWidth="1"/>
    <col min="10" max="10" width="5.140625" style="24" customWidth="1"/>
    <col min="11" max="11" width="28.28515625" style="18" customWidth="1"/>
    <col min="12" max="12" width="6.85546875" style="149" hidden="1" customWidth="1"/>
    <col min="13" max="13" width="4.42578125" style="18" hidden="1" customWidth="1"/>
    <col min="14" max="14" width="4.28515625" style="149" hidden="1" customWidth="1"/>
    <col min="15" max="15" width="17.42578125" style="18" bestFit="1" customWidth="1"/>
    <col min="16" max="238" width="9.140625" style="18"/>
    <col min="239" max="16384" width="9.140625" style="7"/>
  </cols>
  <sheetData>
    <row r="1" spans="1:239" s="2" customFormat="1" ht="18.75">
      <c r="A1" s="1" t="s">
        <v>0</v>
      </c>
      <c r="E1" s="142"/>
      <c r="F1" s="4"/>
      <c r="G1" s="5"/>
      <c r="H1" s="71"/>
      <c r="I1" s="143"/>
      <c r="J1" s="3"/>
      <c r="L1" s="144"/>
      <c r="N1" s="149"/>
      <c r="IE1" s="7"/>
    </row>
    <row r="2" spans="1:239" s="2" customFormat="1" ht="13.5" customHeight="1">
      <c r="E2" s="142"/>
      <c r="F2" s="4"/>
      <c r="G2" s="5"/>
      <c r="H2" s="71"/>
      <c r="I2" s="143"/>
      <c r="J2" s="3"/>
      <c r="K2" s="8" t="s">
        <v>1</v>
      </c>
      <c r="L2" s="144"/>
      <c r="N2" s="149"/>
      <c r="IE2" s="7"/>
    </row>
    <row r="3" spans="1:239" s="9" customFormat="1" ht="4.5" customHeight="1">
      <c r="C3" s="10"/>
      <c r="E3" s="271">
        <v>1.1574074074074073E-5</v>
      </c>
      <c r="F3" s="12"/>
      <c r="G3" s="13"/>
      <c r="H3" s="147"/>
      <c r="I3" s="148"/>
      <c r="J3" s="16"/>
      <c r="K3" s="17"/>
      <c r="L3" s="149"/>
      <c r="N3" s="149"/>
    </row>
    <row r="4" spans="1:239" ht="15.75">
      <c r="C4" s="19" t="s">
        <v>484</v>
      </c>
      <c r="E4" s="150"/>
      <c r="F4" s="21"/>
      <c r="K4" s="25" t="s">
        <v>3</v>
      </c>
    </row>
    <row r="5" spans="1:239" s="9" customFormat="1" ht="4.5" customHeight="1">
      <c r="C5" s="10"/>
      <c r="E5" s="146"/>
      <c r="F5" s="12"/>
      <c r="G5" s="13"/>
      <c r="H5" s="147"/>
      <c r="I5" s="148"/>
      <c r="J5" s="16"/>
      <c r="K5" s="17"/>
      <c r="L5" s="149"/>
      <c r="N5" s="149"/>
    </row>
    <row r="6" spans="1:239" s="9" customFormat="1" ht="12.75" customHeight="1">
      <c r="C6" s="18"/>
      <c r="D6" s="274" t="s">
        <v>445</v>
      </c>
      <c r="E6" s="151"/>
      <c r="F6" s="29"/>
      <c r="G6" s="13"/>
      <c r="H6" s="147"/>
      <c r="I6" s="148"/>
      <c r="J6" s="16"/>
      <c r="K6" s="17"/>
      <c r="L6" s="149"/>
      <c r="N6" s="149"/>
    </row>
    <row r="7" spans="1:239" s="9" customFormat="1" ht="6" customHeight="1">
      <c r="E7" s="152"/>
      <c r="F7" s="31"/>
      <c r="G7" s="13"/>
      <c r="H7" s="153"/>
      <c r="I7" s="148"/>
      <c r="J7" s="16"/>
      <c r="K7" s="17"/>
      <c r="L7" s="149"/>
      <c r="N7" s="149"/>
    </row>
    <row r="8" spans="1:239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</v>
      </c>
      <c r="I8" s="156" t="s">
        <v>101</v>
      </c>
      <c r="J8" s="42" t="s">
        <v>12</v>
      </c>
      <c r="K8" s="33" t="s">
        <v>13</v>
      </c>
      <c r="L8" s="258" t="s">
        <v>103</v>
      </c>
      <c r="M8" s="18" t="s">
        <v>104</v>
      </c>
      <c r="N8" s="157" t="s">
        <v>99</v>
      </c>
    </row>
    <row r="9" spans="1:239" s="54" customFormat="1" ht="16.350000000000001" customHeight="1">
      <c r="A9" s="43">
        <v>1</v>
      </c>
      <c r="B9" s="292">
        <v>382</v>
      </c>
      <c r="C9" s="160" t="s">
        <v>261</v>
      </c>
      <c r="D9" s="161" t="s">
        <v>522</v>
      </c>
      <c r="E9" s="47" t="s">
        <v>523</v>
      </c>
      <c r="F9" s="48" t="s">
        <v>17</v>
      </c>
      <c r="G9" s="49">
        <f t="shared" ref="G9:G19" si="0">IF(ISBLANK(H9),"",TRUNC(0.981*((H9/$E$3)-80.6)^2))</f>
        <v>899</v>
      </c>
      <c r="H9" s="293">
        <v>5.8240740740740746E-4</v>
      </c>
      <c r="I9" s="265"/>
      <c r="J9" s="294" t="str">
        <f t="shared" ref="J9:J27" si="1">IF(ISBLANK(H9),"",IF(H9&gt;0.000706018518518518,"",IF(H9&lt;=0.000541666666666667,"TSM",IF(H9&lt;=0.000561342592592593,"SM",IF(H9&lt;=0.000581018518518519,"KSM",IF(H9&lt;=0.000607638888888889,"I A",IF(H9&lt;=0.000648148148148148,"II A",IF(H9&lt;=0.000706018518518518,"III A"))))))))</f>
        <v>I A</v>
      </c>
      <c r="K9" s="52" t="s">
        <v>524</v>
      </c>
      <c r="L9" s="258" t="s">
        <v>525</v>
      </c>
      <c r="M9" s="263">
        <v>3</v>
      </c>
      <c r="N9" s="263">
        <v>3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</row>
    <row r="10" spans="1:239" s="54" customFormat="1" ht="16.350000000000001" customHeight="1">
      <c r="A10" s="43">
        <v>2</v>
      </c>
      <c r="B10" s="292">
        <v>332</v>
      </c>
      <c r="C10" s="160" t="s">
        <v>536</v>
      </c>
      <c r="D10" s="161" t="s">
        <v>537</v>
      </c>
      <c r="E10" s="47" t="s">
        <v>538</v>
      </c>
      <c r="F10" s="48" t="s">
        <v>539</v>
      </c>
      <c r="G10" s="49">
        <f t="shared" si="0"/>
        <v>872</v>
      </c>
      <c r="H10" s="293">
        <v>5.877314814814815E-4</v>
      </c>
      <c r="I10" s="265"/>
      <c r="J10" s="294" t="str">
        <f t="shared" si="1"/>
        <v>I A</v>
      </c>
      <c r="K10" s="297" t="s">
        <v>540</v>
      </c>
      <c r="L10" s="258" t="s">
        <v>541</v>
      </c>
      <c r="M10" s="263">
        <v>4</v>
      </c>
      <c r="N10" s="263">
        <v>4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</row>
    <row r="11" spans="1:239" s="54" customFormat="1" ht="16.350000000000001" customHeight="1">
      <c r="A11" s="43">
        <v>3</v>
      </c>
      <c r="B11" s="292">
        <v>250</v>
      </c>
      <c r="C11" s="160" t="s">
        <v>542</v>
      </c>
      <c r="D11" s="161" t="s">
        <v>543</v>
      </c>
      <c r="E11" s="47" t="s">
        <v>544</v>
      </c>
      <c r="F11" s="48" t="s">
        <v>75</v>
      </c>
      <c r="G11" s="49">
        <f t="shared" si="0"/>
        <v>848</v>
      </c>
      <c r="H11" s="293">
        <v>5.9247685185185184E-4</v>
      </c>
      <c r="I11" s="265"/>
      <c r="J11" s="294" t="str">
        <f t="shared" si="1"/>
        <v>I A</v>
      </c>
      <c r="K11" s="52" t="s">
        <v>545</v>
      </c>
      <c r="L11" s="258" t="s">
        <v>546</v>
      </c>
      <c r="M11" s="263">
        <v>3</v>
      </c>
      <c r="N11" s="263">
        <v>3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</row>
    <row r="12" spans="1:239" s="54" customFormat="1" ht="16.350000000000001" customHeight="1">
      <c r="A12" s="43">
        <v>4</v>
      </c>
      <c r="B12" s="292">
        <v>378</v>
      </c>
      <c r="C12" s="160" t="s">
        <v>526</v>
      </c>
      <c r="D12" s="161" t="s">
        <v>527</v>
      </c>
      <c r="E12" s="47" t="s">
        <v>528</v>
      </c>
      <c r="F12" s="48" t="s">
        <v>17</v>
      </c>
      <c r="G12" s="49">
        <f t="shared" si="0"/>
        <v>817</v>
      </c>
      <c r="H12" s="293">
        <v>5.9884259259259266E-4</v>
      </c>
      <c r="I12" s="265"/>
      <c r="J12" s="294" t="str">
        <f t="shared" si="1"/>
        <v>I A</v>
      </c>
      <c r="K12" s="52" t="s">
        <v>529</v>
      </c>
      <c r="L12" s="258" t="s">
        <v>530</v>
      </c>
      <c r="M12" s="263">
        <v>4</v>
      </c>
      <c r="N12" s="263">
        <v>4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</row>
    <row r="13" spans="1:239" s="54" customFormat="1" ht="16.350000000000001" customHeight="1">
      <c r="A13" s="43">
        <v>5</v>
      </c>
      <c r="B13" s="292">
        <v>251</v>
      </c>
      <c r="C13" s="160" t="s">
        <v>531</v>
      </c>
      <c r="D13" s="161" t="s">
        <v>532</v>
      </c>
      <c r="E13" s="47" t="s">
        <v>533</v>
      </c>
      <c r="F13" s="48" t="s">
        <v>75</v>
      </c>
      <c r="G13" s="49">
        <f t="shared" si="0"/>
        <v>758</v>
      </c>
      <c r="H13" s="293">
        <v>6.1099537037037036E-4</v>
      </c>
      <c r="I13" s="265"/>
      <c r="J13" s="294" t="str">
        <f t="shared" si="1"/>
        <v>II A</v>
      </c>
      <c r="K13" s="52" t="s">
        <v>74</v>
      </c>
      <c r="L13" s="258" t="s">
        <v>534</v>
      </c>
      <c r="M13" s="263">
        <v>2</v>
      </c>
      <c r="N13" s="263">
        <v>2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</row>
    <row r="14" spans="1:239" s="54" customFormat="1" ht="16.350000000000001" customHeight="1">
      <c r="A14" s="43">
        <v>6</v>
      </c>
      <c r="B14" s="292">
        <v>377</v>
      </c>
      <c r="C14" s="160" t="s">
        <v>485</v>
      </c>
      <c r="D14" s="161" t="s">
        <v>486</v>
      </c>
      <c r="E14" s="47" t="s">
        <v>487</v>
      </c>
      <c r="F14" s="48" t="s">
        <v>17</v>
      </c>
      <c r="G14" s="49">
        <f t="shared" si="0"/>
        <v>707</v>
      </c>
      <c r="H14" s="293">
        <v>6.2199074074074077E-4</v>
      </c>
      <c r="I14" s="265"/>
      <c r="J14" s="294" t="str">
        <f t="shared" si="1"/>
        <v>II A</v>
      </c>
      <c r="K14" s="52" t="s">
        <v>488</v>
      </c>
      <c r="L14" s="258" t="s">
        <v>108</v>
      </c>
      <c r="M14" s="263">
        <v>4</v>
      </c>
      <c r="N14" s="263">
        <v>4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</row>
    <row r="15" spans="1:239" s="54" customFormat="1" ht="16.350000000000001" customHeight="1">
      <c r="A15" s="43">
        <v>7</v>
      </c>
      <c r="B15" s="292">
        <v>290</v>
      </c>
      <c r="C15" s="160" t="s">
        <v>547</v>
      </c>
      <c r="D15" s="161" t="s">
        <v>548</v>
      </c>
      <c r="E15" s="47" t="s">
        <v>549</v>
      </c>
      <c r="F15" s="48" t="s">
        <v>49</v>
      </c>
      <c r="G15" s="49">
        <f t="shared" si="0"/>
        <v>630</v>
      </c>
      <c r="H15" s="293">
        <v>6.3935185185185189E-4</v>
      </c>
      <c r="I15" s="265"/>
      <c r="J15" s="294" t="str">
        <f t="shared" si="1"/>
        <v>II A</v>
      </c>
      <c r="K15" s="52" t="s">
        <v>550</v>
      </c>
      <c r="L15" s="258" t="s">
        <v>551</v>
      </c>
      <c r="M15" s="263">
        <v>1</v>
      </c>
      <c r="N15" s="263">
        <v>1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</row>
    <row r="16" spans="1:239" s="54" customFormat="1" ht="16.350000000000001" customHeight="1">
      <c r="A16" s="43">
        <v>8</v>
      </c>
      <c r="B16" s="292">
        <v>357</v>
      </c>
      <c r="C16" s="160" t="s">
        <v>489</v>
      </c>
      <c r="D16" s="161" t="s">
        <v>490</v>
      </c>
      <c r="E16" s="47" t="s">
        <v>491</v>
      </c>
      <c r="F16" s="48" t="s">
        <v>54</v>
      </c>
      <c r="G16" s="49">
        <f t="shared" si="0"/>
        <v>594</v>
      </c>
      <c r="H16" s="293">
        <v>6.4791666666666665E-4</v>
      </c>
      <c r="I16" s="265"/>
      <c r="J16" s="294" t="str">
        <f t="shared" si="1"/>
        <v>II A</v>
      </c>
      <c r="K16" s="52" t="s">
        <v>79</v>
      </c>
      <c r="L16" s="258" t="s">
        <v>108</v>
      </c>
      <c r="M16" s="263">
        <v>2</v>
      </c>
      <c r="N16" s="263">
        <v>2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</row>
    <row r="17" spans="1:239" s="54" customFormat="1" ht="16.350000000000001" customHeight="1">
      <c r="A17" s="43">
        <v>9</v>
      </c>
      <c r="B17" s="292">
        <v>291</v>
      </c>
      <c r="C17" s="160" t="s">
        <v>349</v>
      </c>
      <c r="D17" s="161" t="s">
        <v>350</v>
      </c>
      <c r="E17" s="47" t="s">
        <v>351</v>
      </c>
      <c r="F17" s="48" t="s">
        <v>49</v>
      </c>
      <c r="G17" s="49">
        <f t="shared" si="0"/>
        <v>557</v>
      </c>
      <c r="H17" s="293">
        <v>6.5706018518518511E-4</v>
      </c>
      <c r="I17" s="265"/>
      <c r="J17" s="294" t="str">
        <f t="shared" si="1"/>
        <v>III A</v>
      </c>
      <c r="K17" s="52" t="s">
        <v>352</v>
      </c>
      <c r="L17" s="258" t="s">
        <v>535</v>
      </c>
      <c r="M17" s="263">
        <v>1</v>
      </c>
      <c r="N17" s="263">
        <v>1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</row>
    <row r="18" spans="1:239" s="54" customFormat="1" ht="16.350000000000001" customHeight="1">
      <c r="A18" s="43">
        <v>10</v>
      </c>
      <c r="B18" s="292">
        <v>358</v>
      </c>
      <c r="C18" s="160" t="s">
        <v>492</v>
      </c>
      <c r="D18" s="161" t="s">
        <v>493</v>
      </c>
      <c r="E18" s="47" t="s">
        <v>494</v>
      </c>
      <c r="F18" s="48" t="s">
        <v>54</v>
      </c>
      <c r="G18" s="49">
        <f t="shared" si="0"/>
        <v>495</v>
      </c>
      <c r="H18" s="293">
        <v>6.7280092592592597E-4</v>
      </c>
      <c r="I18" s="265"/>
      <c r="J18" s="294" t="str">
        <f t="shared" si="1"/>
        <v>III A</v>
      </c>
      <c r="K18" s="52" t="s">
        <v>495</v>
      </c>
      <c r="L18" s="258" t="s">
        <v>108</v>
      </c>
      <c r="M18" s="263">
        <v>3</v>
      </c>
      <c r="N18" s="263">
        <v>3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</row>
    <row r="19" spans="1:239" s="54" customFormat="1" ht="16.350000000000001" customHeight="1">
      <c r="A19" s="43">
        <v>11</v>
      </c>
      <c r="B19" s="292">
        <v>294</v>
      </c>
      <c r="C19" s="160" t="s">
        <v>500</v>
      </c>
      <c r="D19" s="161" t="s">
        <v>501</v>
      </c>
      <c r="E19" s="47" t="s">
        <v>502</v>
      </c>
      <c r="F19" s="48" t="s">
        <v>212</v>
      </c>
      <c r="G19" s="49">
        <f t="shared" si="0"/>
        <v>441</v>
      </c>
      <c r="H19" s="293">
        <v>6.8738425925925922E-4</v>
      </c>
      <c r="I19" s="265"/>
      <c r="J19" s="294" t="str">
        <f t="shared" si="1"/>
        <v>III A</v>
      </c>
      <c r="K19" s="52" t="s">
        <v>503</v>
      </c>
      <c r="L19" s="258" t="s">
        <v>504</v>
      </c>
      <c r="M19" s="263">
        <v>1</v>
      </c>
      <c r="N19" s="263">
        <v>1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</row>
    <row r="20" spans="1:239" s="54" customFormat="1" ht="16.350000000000001" customHeight="1">
      <c r="A20" s="49" t="s">
        <v>23</v>
      </c>
      <c r="B20" s="292">
        <v>321</v>
      </c>
      <c r="C20" s="160" t="s">
        <v>553</v>
      </c>
      <c r="D20" s="161" t="s">
        <v>554</v>
      </c>
      <c r="E20" s="47" t="s">
        <v>555</v>
      </c>
      <c r="F20" s="48" t="s">
        <v>556</v>
      </c>
      <c r="G20" s="49" t="s">
        <v>23</v>
      </c>
      <c r="H20" s="293">
        <v>5.9363425925925925E-4</v>
      </c>
      <c r="I20" s="265"/>
      <c r="J20" s="294" t="str">
        <f t="shared" si="1"/>
        <v>I A</v>
      </c>
      <c r="K20" s="52" t="s">
        <v>557</v>
      </c>
      <c r="L20" s="258" t="s">
        <v>558</v>
      </c>
      <c r="M20" s="263">
        <v>2</v>
      </c>
      <c r="N20" s="263">
        <v>2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</row>
    <row r="21" spans="1:239" s="54" customFormat="1" ht="16.350000000000001" customHeight="1">
      <c r="A21" s="49" t="s">
        <v>23</v>
      </c>
      <c r="B21" s="292">
        <v>320</v>
      </c>
      <c r="C21" s="160" t="s">
        <v>509</v>
      </c>
      <c r="D21" s="161" t="s">
        <v>510</v>
      </c>
      <c r="E21" s="47" t="s">
        <v>511</v>
      </c>
      <c r="F21" s="48" t="s">
        <v>138</v>
      </c>
      <c r="G21" s="49" t="s">
        <v>23</v>
      </c>
      <c r="H21" s="293">
        <v>6.2395833333333324E-4</v>
      </c>
      <c r="I21" s="265"/>
      <c r="J21" s="294" t="str">
        <f t="shared" si="1"/>
        <v>II A</v>
      </c>
      <c r="K21" s="52" t="s">
        <v>244</v>
      </c>
      <c r="L21" s="258" t="s">
        <v>512</v>
      </c>
      <c r="M21" s="263">
        <v>4</v>
      </c>
      <c r="N21" s="263">
        <v>4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</row>
    <row r="22" spans="1:239" s="54" customFormat="1" ht="16.350000000000001" customHeight="1">
      <c r="A22" s="49" t="s">
        <v>23</v>
      </c>
      <c r="B22" s="292">
        <v>327</v>
      </c>
      <c r="C22" s="160" t="s">
        <v>268</v>
      </c>
      <c r="D22" s="161" t="s">
        <v>496</v>
      </c>
      <c r="E22" s="47" t="s">
        <v>497</v>
      </c>
      <c r="F22" s="48" t="s">
        <v>22</v>
      </c>
      <c r="G22" s="49" t="s">
        <v>23</v>
      </c>
      <c r="H22" s="293">
        <v>6.4212962962962954E-4</v>
      </c>
      <c r="I22" s="265"/>
      <c r="J22" s="294" t="str">
        <f t="shared" si="1"/>
        <v>II A</v>
      </c>
      <c r="K22" s="52" t="s">
        <v>160</v>
      </c>
      <c r="L22" s="258" t="s">
        <v>498</v>
      </c>
      <c r="M22" s="263">
        <v>3</v>
      </c>
      <c r="N22" s="263">
        <v>3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</row>
    <row r="23" spans="1:239" s="54" customFormat="1" ht="16.350000000000001" customHeight="1">
      <c r="A23" s="49" t="s">
        <v>23</v>
      </c>
      <c r="B23" s="292">
        <v>335</v>
      </c>
      <c r="C23" s="160" t="s">
        <v>513</v>
      </c>
      <c r="D23" s="161" t="s">
        <v>514</v>
      </c>
      <c r="E23" s="47" t="s">
        <v>515</v>
      </c>
      <c r="F23" s="48" t="s">
        <v>205</v>
      </c>
      <c r="G23" s="49" t="s">
        <v>23</v>
      </c>
      <c r="H23" s="293">
        <v>6.5358796296296291E-4</v>
      </c>
      <c r="I23" s="265"/>
      <c r="J23" s="294" t="str">
        <f t="shared" si="1"/>
        <v>III A</v>
      </c>
      <c r="K23" s="52" t="s">
        <v>256</v>
      </c>
      <c r="L23" s="258" t="s">
        <v>516</v>
      </c>
      <c r="M23" s="263">
        <v>1</v>
      </c>
      <c r="N23" s="263">
        <v>1</v>
      </c>
      <c r="O23" s="296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</row>
    <row r="24" spans="1:239" s="54" customFormat="1" ht="16.350000000000001" customHeight="1">
      <c r="A24" s="49" t="s">
        <v>23</v>
      </c>
      <c r="B24" s="292">
        <v>273</v>
      </c>
      <c r="C24" s="160" t="s">
        <v>386</v>
      </c>
      <c r="D24" s="161" t="s">
        <v>387</v>
      </c>
      <c r="E24" s="47" t="s">
        <v>388</v>
      </c>
      <c r="F24" s="48" t="s">
        <v>22</v>
      </c>
      <c r="G24" s="49" t="s">
        <v>23</v>
      </c>
      <c r="H24" s="293">
        <v>6.7233796296296301E-4</v>
      </c>
      <c r="I24" s="265"/>
      <c r="J24" s="294" t="str">
        <f t="shared" si="1"/>
        <v>III A</v>
      </c>
      <c r="K24" s="52" t="s">
        <v>389</v>
      </c>
      <c r="L24" s="258" t="s">
        <v>499</v>
      </c>
      <c r="M24" s="263">
        <v>2</v>
      </c>
      <c r="N24" s="263">
        <v>2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</row>
    <row r="25" spans="1:239" s="54" customFormat="1" ht="16.350000000000001" customHeight="1">
      <c r="A25" s="43"/>
      <c r="B25" s="292">
        <v>367</v>
      </c>
      <c r="C25" s="160" t="s">
        <v>268</v>
      </c>
      <c r="D25" s="161" t="s">
        <v>505</v>
      </c>
      <c r="E25" s="47" t="s">
        <v>506</v>
      </c>
      <c r="F25" s="48" t="s">
        <v>184</v>
      </c>
      <c r="G25" s="49"/>
      <c r="H25" s="295" t="s">
        <v>30</v>
      </c>
      <c r="I25" s="265"/>
      <c r="J25" s="294" t="str">
        <f t="shared" si="1"/>
        <v/>
      </c>
      <c r="K25" s="52" t="s">
        <v>507</v>
      </c>
      <c r="L25" s="258" t="s">
        <v>508</v>
      </c>
      <c r="M25" s="263">
        <v>4</v>
      </c>
      <c r="N25" s="263">
        <v>4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</row>
    <row r="26" spans="1:239" s="54" customFormat="1" ht="16.350000000000001" customHeight="1">
      <c r="A26" s="43"/>
      <c r="B26" s="292">
        <v>363</v>
      </c>
      <c r="C26" s="160" t="s">
        <v>500</v>
      </c>
      <c r="D26" s="161" t="s">
        <v>517</v>
      </c>
      <c r="E26" s="47" t="s">
        <v>518</v>
      </c>
      <c r="F26" s="48" t="s">
        <v>54</v>
      </c>
      <c r="G26" s="49"/>
      <c r="H26" s="293" t="s">
        <v>30</v>
      </c>
      <c r="I26" s="265"/>
      <c r="J26" s="294" t="str">
        <f t="shared" si="1"/>
        <v/>
      </c>
      <c r="K26" s="52" t="s">
        <v>79</v>
      </c>
      <c r="L26" s="258" t="s">
        <v>519</v>
      </c>
      <c r="M26" s="263">
        <v>2</v>
      </c>
      <c r="N26" s="263">
        <v>2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</row>
    <row r="27" spans="1:239" s="54" customFormat="1" ht="16.350000000000001" customHeight="1">
      <c r="A27" s="43"/>
      <c r="B27" s="292">
        <v>277</v>
      </c>
      <c r="C27" s="160" t="s">
        <v>361</v>
      </c>
      <c r="D27" s="161" t="s">
        <v>520</v>
      </c>
      <c r="E27" s="47" t="s">
        <v>38</v>
      </c>
      <c r="F27" s="48" t="s">
        <v>49</v>
      </c>
      <c r="G27" s="49"/>
      <c r="H27" s="295" t="s">
        <v>30</v>
      </c>
      <c r="I27" s="265"/>
      <c r="J27" s="294" t="str">
        <f t="shared" si="1"/>
        <v/>
      </c>
      <c r="K27" s="52" t="s">
        <v>488</v>
      </c>
      <c r="L27" s="258" t="s">
        <v>521</v>
      </c>
      <c r="M27" s="263">
        <v>3</v>
      </c>
      <c r="N27" s="263">
        <v>3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L13"/>
  <sheetViews>
    <sheetView zoomScaleNormal="100" workbookViewId="0">
      <selection activeCell="J28" sqref="J28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6" bestFit="1" customWidth="1"/>
    <col min="9" max="9" width="5.140625" style="24" customWidth="1"/>
    <col min="10" max="10" width="24.5703125" style="18" customWidth="1"/>
    <col min="11" max="11" width="6.28515625" style="261" hidden="1" customWidth="1"/>
    <col min="12" max="12" width="6.28515625" style="261" customWidth="1"/>
    <col min="13" max="245" width="9.140625" style="18"/>
    <col min="246" max="16384" width="9.140625" style="7"/>
  </cols>
  <sheetData>
    <row r="1" spans="1:246" s="2" customFormat="1" ht="18.75">
      <c r="A1" s="1" t="s">
        <v>0</v>
      </c>
      <c r="E1" s="3"/>
      <c r="F1" s="4"/>
      <c r="G1" s="5"/>
      <c r="H1" s="6"/>
      <c r="I1" s="3"/>
      <c r="K1" s="272"/>
      <c r="L1" s="272"/>
      <c r="IL1" s="7"/>
    </row>
    <row r="2" spans="1:246" s="2" customFormat="1" ht="13.5" customHeight="1">
      <c r="E2" s="3"/>
      <c r="F2" s="4"/>
      <c r="G2" s="5"/>
      <c r="H2" s="6"/>
      <c r="I2" s="3"/>
      <c r="J2" s="8" t="s">
        <v>1</v>
      </c>
      <c r="K2" s="272"/>
      <c r="L2" s="272"/>
      <c r="IL2" s="7"/>
    </row>
    <row r="3" spans="1:246" s="9" customFormat="1" ht="4.5" customHeight="1">
      <c r="C3" s="10"/>
      <c r="E3" s="11">
        <v>1.1574074074074073E-5</v>
      </c>
      <c r="F3" s="12"/>
      <c r="G3" s="13"/>
      <c r="H3" s="14"/>
      <c r="I3" s="16"/>
      <c r="J3" s="17"/>
      <c r="K3" s="70"/>
      <c r="L3" s="70"/>
    </row>
    <row r="4" spans="1:246" ht="15.75">
      <c r="C4" s="19" t="s">
        <v>623</v>
      </c>
      <c r="E4" s="20"/>
      <c r="F4" s="21"/>
      <c r="J4" s="25" t="s">
        <v>3</v>
      </c>
      <c r="K4" s="309"/>
    </row>
    <row r="5" spans="1:246" s="9" customFormat="1" ht="4.5" customHeight="1">
      <c r="C5" s="10"/>
      <c r="E5" s="26"/>
      <c r="F5" s="12"/>
      <c r="G5" s="13"/>
      <c r="H5" s="14"/>
      <c r="I5" s="16"/>
      <c r="J5" s="17"/>
      <c r="K5" s="70"/>
      <c r="L5" s="70"/>
    </row>
    <row r="6" spans="1:246" s="9" customFormat="1" ht="12.75" customHeight="1">
      <c r="C6" s="18"/>
      <c r="D6" s="27" t="s">
        <v>102</v>
      </c>
      <c r="E6" s="28"/>
      <c r="F6" s="29"/>
      <c r="G6" s="13"/>
      <c r="H6" s="14"/>
      <c r="I6" s="16"/>
      <c r="J6" s="17"/>
      <c r="K6" s="70"/>
      <c r="L6" s="70"/>
    </row>
    <row r="7" spans="1:246" s="9" customFormat="1" ht="6" customHeight="1">
      <c r="E7" s="30"/>
      <c r="F7" s="31"/>
      <c r="G7" s="13"/>
      <c r="H7" s="32"/>
      <c r="I7" s="16"/>
      <c r="J7" s="17"/>
      <c r="K7" s="70"/>
      <c r="L7" s="70"/>
    </row>
    <row r="8" spans="1:246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40" t="s">
        <v>10</v>
      </c>
      <c r="I8" s="42" t="s">
        <v>12</v>
      </c>
      <c r="J8" s="33" t="s">
        <v>13</v>
      </c>
      <c r="K8" s="261" t="s">
        <v>103</v>
      </c>
    </row>
    <row r="9" spans="1:246" ht="16.350000000000001" customHeight="1">
      <c r="A9" s="202">
        <v>1</v>
      </c>
      <c r="B9" s="44">
        <v>286</v>
      </c>
      <c r="C9" s="160" t="s">
        <v>622</v>
      </c>
      <c r="D9" s="161" t="s">
        <v>621</v>
      </c>
      <c r="E9" s="47" t="s">
        <v>620</v>
      </c>
      <c r="F9" s="48" t="s">
        <v>49</v>
      </c>
      <c r="G9" s="91">
        <f>IF(ISBLANK(H9),"",TRUNC(0.0572*((H9/$E$3)-264)^2))</f>
        <v>814</v>
      </c>
      <c r="H9" s="204">
        <v>1.6744212962962962E-3</v>
      </c>
      <c r="I9" s="264" t="str">
        <f>IF(ISBLANK(H9),"",IF(H9&gt;0.00202546296296296,"",IF(H9&lt;=0.00143518518518519,"TSM",IF(H9&lt;=0.00148148148148148,"SM",IF(H9&lt;=0.0015625,"KSM",IF(H9&lt;=0.00166666666666667,"I A",IF(H9&lt;=0.00181712962962963,"II A",IF(H9&lt;=0.00202546296296296,"III A"))))))))</f>
        <v>II A</v>
      </c>
      <c r="J9" s="52" t="s">
        <v>602</v>
      </c>
      <c r="K9" s="206" t="s">
        <v>619</v>
      </c>
      <c r="L9" s="206"/>
      <c r="IL9" s="18"/>
    </row>
    <row r="10" spans="1:246" ht="16.350000000000001" customHeight="1">
      <c r="A10" s="202">
        <v>2</v>
      </c>
      <c r="B10" s="44">
        <v>260</v>
      </c>
      <c r="C10" s="160" t="s">
        <v>141</v>
      </c>
      <c r="D10" s="161" t="s">
        <v>464</v>
      </c>
      <c r="E10" s="47" t="s">
        <v>463</v>
      </c>
      <c r="F10" s="48" t="s">
        <v>88</v>
      </c>
      <c r="G10" s="91">
        <f>IF(ISBLANK(H10),"",TRUNC(0.0572*((H10/$E$3)-264)^2))</f>
        <v>788</v>
      </c>
      <c r="H10" s="204">
        <v>1.6968750000000002E-3</v>
      </c>
      <c r="I10" s="264" t="str">
        <f>IF(ISBLANK(H10),"",IF(H10&gt;0.00202546296296296,"",IF(H10&lt;=0.00143518518518519,"TSM",IF(H10&lt;=0.00148148148148148,"SM",IF(H10&lt;=0.0015625,"KSM",IF(H10&lt;=0.00166666666666667,"I A",IF(H10&lt;=0.00181712962962963,"II A",IF(H10&lt;=0.00202546296296296,"III A"))))))))</f>
        <v>II A</v>
      </c>
      <c r="J10" s="52" t="s">
        <v>462</v>
      </c>
      <c r="K10" s="206" t="s">
        <v>618</v>
      </c>
      <c r="L10" s="206"/>
      <c r="IL10" s="18"/>
    </row>
    <row r="11" spans="1:246" ht="16.350000000000001" customHeight="1">
      <c r="A11" s="202">
        <v>3</v>
      </c>
      <c r="B11" s="44">
        <v>233</v>
      </c>
      <c r="C11" s="160" t="s">
        <v>617</v>
      </c>
      <c r="D11" s="161" t="s">
        <v>616</v>
      </c>
      <c r="E11" s="47" t="s">
        <v>615</v>
      </c>
      <c r="F11" s="48" t="s">
        <v>539</v>
      </c>
      <c r="G11" s="91">
        <f>IF(ISBLANK(H11),"",TRUNC(0.0572*((H11/$E$3)-264)^2))</f>
        <v>743</v>
      </c>
      <c r="H11" s="204">
        <v>1.7362268518518519E-3</v>
      </c>
      <c r="I11" s="264" t="str">
        <f>IF(ISBLANK(H11),"",IF(H11&gt;0.00202546296296296,"",IF(H11&lt;=0.00143518518518519,"TSM",IF(H11&lt;=0.00148148148148148,"SM",IF(H11&lt;=0.0015625,"KSM",IF(H11&lt;=0.00166666666666667,"I A",IF(H11&lt;=0.00181712962962963,"II A",IF(H11&lt;=0.00202546296296296,"III A"))))))))</f>
        <v>II A</v>
      </c>
      <c r="J11" s="52" t="s">
        <v>206</v>
      </c>
      <c r="K11" s="206">
        <v>1.712962962962963E-3</v>
      </c>
      <c r="L11" s="206"/>
      <c r="IL11" s="18"/>
    </row>
    <row r="12" spans="1:246" ht="16.350000000000001" customHeight="1">
      <c r="A12" s="202">
        <v>4</v>
      </c>
      <c r="B12" s="44">
        <v>252</v>
      </c>
      <c r="C12" s="160" t="s">
        <v>73</v>
      </c>
      <c r="D12" s="161" t="s">
        <v>614</v>
      </c>
      <c r="E12" s="47" t="s">
        <v>613</v>
      </c>
      <c r="F12" s="48" t="s">
        <v>75</v>
      </c>
      <c r="G12" s="91">
        <f>IF(ISBLANK(H12),"",TRUNC(0.0572*((H12/$E$3)-264)^2))</f>
        <v>653</v>
      </c>
      <c r="H12" s="204">
        <v>1.8186342592592592E-3</v>
      </c>
      <c r="I12" s="264" t="str">
        <f>IF(ISBLANK(H12),"",IF(H12&gt;0.00202546296296296,"",IF(H12&lt;=0.00143518518518519,"TSM",IF(H12&lt;=0.00148148148148148,"SM",IF(H12&lt;=0.0015625,"KSM",IF(H12&lt;=0.00166666666666667,"I A",IF(H12&lt;=0.00181712962962963,"II A",IF(H12&lt;=0.00202546296296296,"III A"))))))))</f>
        <v>III A</v>
      </c>
      <c r="J12" s="52" t="s">
        <v>612</v>
      </c>
      <c r="K12" s="206" t="s">
        <v>611</v>
      </c>
      <c r="L12" s="206"/>
      <c r="IL12" s="18"/>
    </row>
    <row r="13" spans="1:246" ht="16.350000000000001" customHeight="1">
      <c r="A13" s="202"/>
      <c r="B13" s="44">
        <v>397</v>
      </c>
      <c r="C13" s="160" t="s">
        <v>36</v>
      </c>
      <c r="D13" s="161" t="s">
        <v>198</v>
      </c>
      <c r="E13" s="47" t="s">
        <v>199</v>
      </c>
      <c r="F13" s="48" t="s">
        <v>200</v>
      </c>
      <c r="G13" s="91" t="s">
        <v>23</v>
      </c>
      <c r="H13" s="204" t="s">
        <v>30</v>
      </c>
      <c r="I13" s="264" t="str">
        <f>IF(ISBLANK(H13),"",IF(H13&gt;0.00202546296296296,"",IF(H13&lt;=0.00143518518518519,"TSM",IF(H13&lt;=0.00148148148148148,"SM",IF(H13&lt;=0.0015625,"KSM",IF(H13&lt;=0.00166666666666667,"I A",IF(H13&lt;=0.00181712962962963,"II A",IF(H13&lt;=0.00202546296296296,"III A"))))))))</f>
        <v/>
      </c>
      <c r="J13" s="52" t="s">
        <v>201</v>
      </c>
      <c r="K13" s="206" t="s">
        <v>610</v>
      </c>
      <c r="L13" s="206"/>
      <c r="IL13" s="18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8"/>
  <sheetViews>
    <sheetView zoomScaleNormal="100" workbookViewId="0">
      <selection activeCell="I34" sqref="I34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6" bestFit="1" customWidth="1"/>
    <col min="9" max="9" width="5.140625" style="24" customWidth="1"/>
    <col min="10" max="10" width="27.5703125" style="18" customWidth="1"/>
    <col min="11" max="11" width="5.42578125" style="55" hidden="1" customWidth="1"/>
    <col min="12" max="12" width="4.42578125" style="18" hidden="1" customWidth="1"/>
    <col min="13" max="13" width="2.7109375" style="24" customWidth="1"/>
    <col min="14" max="15" width="9.140625" style="18" customWidth="1"/>
    <col min="16" max="244" width="9.140625" style="18"/>
    <col min="245" max="16384" width="9.140625" style="7"/>
  </cols>
  <sheetData>
    <row r="1" spans="1:247" s="2" customFormat="1" ht="18.75">
      <c r="A1" s="1" t="s">
        <v>0</v>
      </c>
      <c r="E1" s="3"/>
      <c r="F1" s="4"/>
      <c r="G1" s="5"/>
      <c r="H1" s="6"/>
      <c r="I1" s="3"/>
      <c r="K1" s="20"/>
      <c r="M1" s="3"/>
      <c r="IK1" s="7"/>
    </row>
    <row r="2" spans="1:247" s="2" customFormat="1" ht="13.5" customHeight="1">
      <c r="E2" s="3"/>
      <c r="F2" s="4"/>
      <c r="G2" s="5"/>
      <c r="H2" s="6"/>
      <c r="I2" s="3"/>
      <c r="J2" s="8" t="s">
        <v>1</v>
      </c>
      <c r="K2" s="20"/>
      <c r="M2" s="3"/>
      <c r="IK2" s="7"/>
    </row>
    <row r="3" spans="1:247" s="9" customFormat="1" ht="4.5" customHeight="1">
      <c r="C3" s="10"/>
      <c r="E3" s="11">
        <v>1.1574074074074073E-5</v>
      </c>
      <c r="F3" s="12"/>
      <c r="G3" s="13"/>
      <c r="H3" s="14"/>
      <c r="I3" s="16"/>
      <c r="J3" s="17"/>
      <c r="K3" s="55"/>
      <c r="M3" s="298"/>
    </row>
    <row r="4" spans="1:247" ht="15.75">
      <c r="C4" s="19" t="s">
        <v>559</v>
      </c>
      <c r="E4" s="20"/>
      <c r="F4" s="21"/>
      <c r="J4" s="299" t="s">
        <v>3</v>
      </c>
    </row>
    <row r="5" spans="1:247" s="9" customFormat="1" ht="4.5" customHeight="1">
      <c r="C5" s="10"/>
      <c r="E5" s="26"/>
      <c r="F5" s="12"/>
      <c r="G5" s="13"/>
      <c r="H5" s="14"/>
      <c r="I5" s="16"/>
      <c r="J5" s="300"/>
      <c r="K5" s="55"/>
      <c r="M5" s="298"/>
    </row>
    <row r="6" spans="1:247" s="9" customFormat="1" ht="12.75" customHeight="1">
      <c r="C6" s="18"/>
      <c r="D6" s="27">
        <v>1</v>
      </c>
      <c r="E6" s="28" t="s">
        <v>456</v>
      </c>
      <c r="F6" s="29"/>
      <c r="G6" s="13"/>
      <c r="H6" s="14"/>
      <c r="I6" s="16"/>
      <c r="J6" s="17"/>
      <c r="K6" s="55"/>
      <c r="M6" s="298"/>
    </row>
    <row r="7" spans="1:247" s="9" customFormat="1" ht="6" customHeight="1">
      <c r="E7" s="30"/>
      <c r="F7" s="31"/>
      <c r="G7" s="13"/>
      <c r="H7" s="32"/>
      <c r="I7" s="16"/>
      <c r="J7" s="17"/>
      <c r="K7" s="55"/>
      <c r="M7" s="298"/>
    </row>
    <row r="8" spans="1:247" ht="11.25" customHeight="1">
      <c r="A8" s="301" t="s">
        <v>29</v>
      </c>
      <c r="B8" s="301" t="s">
        <v>4</v>
      </c>
      <c r="C8" s="302" t="s">
        <v>5</v>
      </c>
      <c r="D8" s="303" t="s">
        <v>6</v>
      </c>
      <c r="E8" s="304" t="s">
        <v>7</v>
      </c>
      <c r="F8" s="38" t="s">
        <v>8</v>
      </c>
      <c r="G8" s="39" t="s">
        <v>9</v>
      </c>
      <c r="H8" s="40" t="s">
        <v>10</v>
      </c>
      <c r="I8" s="42" t="s">
        <v>12</v>
      </c>
      <c r="J8" s="33" t="s">
        <v>13</v>
      </c>
      <c r="K8" s="305" t="s">
        <v>103</v>
      </c>
      <c r="L8" s="18" t="s">
        <v>104</v>
      </c>
      <c r="M8" s="176"/>
    </row>
    <row r="9" spans="1:247" ht="16.350000000000001" customHeight="1">
      <c r="A9" s="202">
        <v>1</v>
      </c>
      <c r="B9" s="44">
        <v>293</v>
      </c>
      <c r="C9" s="160" t="s">
        <v>345</v>
      </c>
      <c r="D9" s="161" t="s">
        <v>560</v>
      </c>
      <c r="E9" s="47" t="s">
        <v>561</v>
      </c>
      <c r="F9" s="48" t="s">
        <v>212</v>
      </c>
      <c r="G9" s="306">
        <f>IF(ISBLANK(H9),"",TRUNC(0.1974*((H9/$E$3)-184)^2))</f>
        <v>626</v>
      </c>
      <c r="H9" s="204">
        <v>1.4774305555555556E-3</v>
      </c>
      <c r="I9" s="264" t="str">
        <f t="shared" ref="I9:I15" si="0">IF(ISBLANK(H9),"",IF(H9&gt;0.00171296296296296,"",IF(H9&lt;=0.00125694444444444,"TSM",IF(H9&lt;=0.00129050925925926,"SM",IF(H9&lt;=0.00134259259259259,"KSM",IF(H9&lt;=0.00142361111111111,"I A",IF(H9&lt;=0.00155092592592593,"II A",IF(H9&lt;=0.00171296296296296,"III A"))))))))</f>
        <v>II A</v>
      </c>
      <c r="J9" s="52" t="s">
        <v>503</v>
      </c>
      <c r="K9" s="307" t="s">
        <v>108</v>
      </c>
      <c r="L9" s="263">
        <v>1</v>
      </c>
      <c r="M9" s="308"/>
      <c r="IK9" s="18"/>
      <c r="IL9" s="18"/>
      <c r="IM9" s="18"/>
    </row>
    <row r="10" spans="1:247" ht="16.350000000000001" customHeight="1">
      <c r="A10" s="202">
        <v>2</v>
      </c>
      <c r="B10" s="44">
        <v>344</v>
      </c>
      <c r="C10" s="160" t="s">
        <v>354</v>
      </c>
      <c r="D10" s="161" t="s">
        <v>562</v>
      </c>
      <c r="E10" s="47" t="s">
        <v>563</v>
      </c>
      <c r="F10" s="48" t="s">
        <v>54</v>
      </c>
      <c r="G10" s="306">
        <f>IF(ISBLANK(H10),"",TRUNC(0.1974*((H10/$E$3)-184)^2))</f>
        <v>490</v>
      </c>
      <c r="H10" s="204">
        <v>1.5527777777777779E-3</v>
      </c>
      <c r="I10" s="264" t="str">
        <f t="shared" si="0"/>
        <v>III A</v>
      </c>
      <c r="J10" s="52" t="s">
        <v>79</v>
      </c>
      <c r="K10" s="307" t="s">
        <v>564</v>
      </c>
      <c r="L10" s="263">
        <v>1</v>
      </c>
      <c r="M10" s="308"/>
      <c r="IK10" s="18"/>
      <c r="IL10" s="18"/>
      <c r="IM10" s="18"/>
    </row>
    <row r="11" spans="1:247" ht="16.350000000000001" customHeight="1">
      <c r="A11" s="202">
        <v>3</v>
      </c>
      <c r="B11" s="44">
        <v>306</v>
      </c>
      <c r="C11" s="160" t="s">
        <v>565</v>
      </c>
      <c r="D11" s="161" t="s">
        <v>566</v>
      </c>
      <c r="E11" s="47" t="s">
        <v>567</v>
      </c>
      <c r="F11" s="48" t="s">
        <v>243</v>
      </c>
      <c r="G11" s="306">
        <f>IF(ISBLANK(H11),"",TRUNC(0.1974*((H11/$E$3)-184)^2))</f>
        <v>325</v>
      </c>
      <c r="H11" s="204">
        <v>1.6594907407407409E-3</v>
      </c>
      <c r="I11" s="264" t="str">
        <f t="shared" si="0"/>
        <v>III A</v>
      </c>
      <c r="J11" s="52" t="s">
        <v>568</v>
      </c>
      <c r="K11" s="307" t="s">
        <v>108</v>
      </c>
      <c r="L11" s="263">
        <v>1</v>
      </c>
      <c r="M11" s="308"/>
      <c r="IK11" s="18"/>
      <c r="IL11" s="18"/>
      <c r="IM11" s="18"/>
    </row>
    <row r="12" spans="1:247" ht="16.350000000000001" customHeight="1">
      <c r="A12" s="202" t="s">
        <v>23</v>
      </c>
      <c r="B12" s="44">
        <v>319</v>
      </c>
      <c r="C12" s="160" t="s">
        <v>569</v>
      </c>
      <c r="D12" s="161" t="s">
        <v>570</v>
      </c>
      <c r="E12" s="47" t="s">
        <v>571</v>
      </c>
      <c r="F12" s="48" t="s">
        <v>138</v>
      </c>
      <c r="G12" s="306" t="s">
        <v>23</v>
      </c>
      <c r="H12" s="204">
        <v>1.4690972222222221E-3</v>
      </c>
      <c r="I12" s="264" t="str">
        <f>IF(ISBLANK(H12),"",IF(H12&gt;0.00171296296296296,"",IF(H12&lt;=0.00125694444444444,"TSM",IF(H12&lt;=0.00129050925925926,"SM",IF(H12&lt;=0.00134259259259259,"KSM",IF(H12&lt;=0.00142361111111111,"I A",IF(H12&lt;=0.00155092592592593,"II A",IF(H12&lt;=0.00171296296296296,"III A"))))))))</f>
        <v>II A</v>
      </c>
      <c r="J12" s="52" t="s">
        <v>244</v>
      </c>
      <c r="K12" s="307" t="s">
        <v>572</v>
      </c>
      <c r="L12" s="263">
        <v>1</v>
      </c>
      <c r="M12" s="308"/>
      <c r="IK12" s="18"/>
      <c r="IL12" s="18"/>
      <c r="IM12" s="18"/>
    </row>
    <row r="13" spans="1:247" ht="16.350000000000001" customHeight="1">
      <c r="A13" s="202" t="s">
        <v>23</v>
      </c>
      <c r="B13" s="44">
        <v>334</v>
      </c>
      <c r="C13" s="160" t="s">
        <v>573</v>
      </c>
      <c r="D13" s="161" t="s">
        <v>574</v>
      </c>
      <c r="E13" s="47" t="s">
        <v>575</v>
      </c>
      <c r="F13" s="48" t="s">
        <v>205</v>
      </c>
      <c r="G13" s="306" t="s">
        <v>23</v>
      </c>
      <c r="H13" s="204">
        <v>1.6046296296296297E-3</v>
      </c>
      <c r="I13" s="264" t="str">
        <f>IF(ISBLANK(H13),"",IF(H13&gt;0.00171296296296296,"",IF(H13&lt;=0.00125694444444444,"TSM",IF(H13&lt;=0.00129050925925926,"SM",IF(H13&lt;=0.00134259259259259,"KSM",IF(H13&lt;=0.00142361111111111,"I A",IF(H13&lt;=0.00155092592592593,"II A",IF(H13&lt;=0.00171296296296296,"III A"))))))))</f>
        <v>III A</v>
      </c>
      <c r="J13" s="52" t="s">
        <v>206</v>
      </c>
      <c r="K13" s="307" t="s">
        <v>576</v>
      </c>
      <c r="L13" s="263">
        <v>1</v>
      </c>
      <c r="M13" s="308"/>
      <c r="IK13" s="18"/>
      <c r="IL13" s="18"/>
      <c r="IM13" s="18"/>
    </row>
    <row r="14" spans="1:247" ht="16.350000000000001" customHeight="1">
      <c r="A14" s="202"/>
      <c r="B14" s="44">
        <v>313</v>
      </c>
      <c r="C14" s="160" t="s">
        <v>237</v>
      </c>
      <c r="D14" s="161" t="s">
        <v>577</v>
      </c>
      <c r="E14" s="47" t="s">
        <v>578</v>
      </c>
      <c r="F14" s="48" t="s">
        <v>243</v>
      </c>
      <c r="G14" s="306"/>
      <c r="H14" s="204" t="s">
        <v>30</v>
      </c>
      <c r="I14" s="264" t="str">
        <f t="shared" si="0"/>
        <v/>
      </c>
      <c r="J14" s="52" t="s">
        <v>579</v>
      </c>
      <c r="K14" s="307" t="s">
        <v>108</v>
      </c>
      <c r="L14" s="263">
        <v>1</v>
      </c>
      <c r="M14" s="308"/>
      <c r="IK14" s="18"/>
      <c r="IL14" s="18"/>
      <c r="IM14" s="18"/>
    </row>
    <row r="15" spans="1:247" ht="16.350000000000001" customHeight="1">
      <c r="A15" s="202"/>
      <c r="B15" s="44">
        <v>264</v>
      </c>
      <c r="C15" s="160" t="s">
        <v>358</v>
      </c>
      <c r="D15" s="161" t="s">
        <v>580</v>
      </c>
      <c r="E15" s="47" t="s">
        <v>581</v>
      </c>
      <c r="F15" s="48" t="s">
        <v>582</v>
      </c>
      <c r="G15" s="306" t="s">
        <v>23</v>
      </c>
      <c r="H15" s="204" t="s">
        <v>30</v>
      </c>
      <c r="I15" s="264" t="str">
        <f t="shared" si="0"/>
        <v/>
      </c>
      <c r="J15" s="52" t="s">
        <v>503</v>
      </c>
      <c r="K15" s="307" t="s">
        <v>108</v>
      </c>
      <c r="L15" s="263">
        <v>1</v>
      </c>
      <c r="M15" s="308"/>
      <c r="IK15" s="18"/>
      <c r="IL15" s="18"/>
      <c r="IM15" s="18"/>
    </row>
    <row r="17" spans="1:247" s="9" customFormat="1" ht="4.5" customHeight="1">
      <c r="C17" s="10"/>
      <c r="E17" s="26"/>
      <c r="F17" s="12"/>
      <c r="G17" s="13"/>
      <c r="H17" s="14"/>
      <c r="I17" s="16"/>
      <c r="J17" s="300"/>
      <c r="K17" s="55"/>
      <c r="M17" s="298"/>
    </row>
    <row r="18" spans="1:247" s="9" customFormat="1" ht="12.75" customHeight="1">
      <c r="C18" s="18"/>
      <c r="D18" s="27">
        <v>2</v>
      </c>
      <c r="E18" s="28" t="s">
        <v>456</v>
      </c>
      <c r="F18" s="29"/>
      <c r="G18" s="13"/>
      <c r="H18" s="14"/>
      <c r="I18" s="16"/>
      <c r="J18" s="17"/>
      <c r="K18" s="55"/>
      <c r="M18" s="298"/>
    </row>
    <row r="19" spans="1:247" s="9" customFormat="1" ht="6" customHeight="1">
      <c r="E19" s="30"/>
      <c r="F19" s="31"/>
      <c r="G19" s="13"/>
      <c r="H19" s="32"/>
      <c r="I19" s="16"/>
      <c r="J19" s="17"/>
      <c r="K19" s="55"/>
      <c r="M19" s="298"/>
    </row>
    <row r="20" spans="1:247" ht="11.25" customHeight="1">
      <c r="A20" s="301" t="s">
        <v>29</v>
      </c>
      <c r="B20" s="301" t="s">
        <v>4</v>
      </c>
      <c r="C20" s="302" t="s">
        <v>5</v>
      </c>
      <c r="D20" s="303" t="s">
        <v>6</v>
      </c>
      <c r="E20" s="304" t="s">
        <v>7</v>
      </c>
      <c r="F20" s="38" t="s">
        <v>8</v>
      </c>
      <c r="G20" s="39" t="s">
        <v>9</v>
      </c>
      <c r="H20" s="40" t="s">
        <v>10</v>
      </c>
      <c r="I20" s="42" t="s">
        <v>12</v>
      </c>
      <c r="J20" s="33" t="s">
        <v>13</v>
      </c>
      <c r="K20" s="305" t="s">
        <v>103</v>
      </c>
      <c r="L20" s="18" t="s">
        <v>104</v>
      </c>
      <c r="M20" s="176"/>
    </row>
    <row r="21" spans="1:247" ht="16.350000000000001" customHeight="1">
      <c r="A21" s="202">
        <v>1</v>
      </c>
      <c r="B21" s="44">
        <v>347</v>
      </c>
      <c r="C21" s="160" t="s">
        <v>583</v>
      </c>
      <c r="D21" s="161" t="s">
        <v>584</v>
      </c>
      <c r="E21" s="47" t="s">
        <v>585</v>
      </c>
      <c r="F21" s="48" t="s">
        <v>54</v>
      </c>
      <c r="G21" s="306">
        <f t="shared" ref="G21:G27" si="1">IF(ISBLANK(H21),"",TRUNC(0.1974*((H21/$E$3)-184)^2))</f>
        <v>782</v>
      </c>
      <c r="H21" s="204">
        <v>1.4008101851851853E-3</v>
      </c>
      <c r="I21" s="264" t="str">
        <f t="shared" ref="I21:I28" si="2">IF(ISBLANK(H21),"",IF(H21&gt;0.00171296296296296,"",IF(H21&lt;=0.00125694444444444,"TSM",IF(H21&lt;=0.00129050925925926,"SM",IF(H21&lt;=0.00134259259259259,"KSM",IF(H21&lt;=0.00142361111111111,"I A",IF(H21&lt;=0.00155092592592593,"II A",IF(H21&lt;=0.00171296296296296,"III A"))))))))</f>
        <v>I A</v>
      </c>
      <c r="J21" s="52" t="s">
        <v>586</v>
      </c>
      <c r="K21" s="307" t="s">
        <v>108</v>
      </c>
      <c r="L21" s="263">
        <v>2</v>
      </c>
      <c r="M21" s="308"/>
      <c r="IK21" s="18"/>
      <c r="IL21" s="18"/>
      <c r="IM21" s="18"/>
    </row>
    <row r="22" spans="1:247" ht="16.350000000000001" customHeight="1">
      <c r="A22" s="202">
        <v>2</v>
      </c>
      <c r="B22" s="44">
        <v>308</v>
      </c>
      <c r="C22" s="160" t="s">
        <v>587</v>
      </c>
      <c r="D22" s="161" t="s">
        <v>588</v>
      </c>
      <c r="E22" s="47" t="s">
        <v>589</v>
      </c>
      <c r="F22" s="48" t="s">
        <v>243</v>
      </c>
      <c r="G22" s="306">
        <f t="shared" si="1"/>
        <v>763</v>
      </c>
      <c r="H22" s="204">
        <v>1.4097222222222221E-3</v>
      </c>
      <c r="I22" s="264" t="str">
        <f t="shared" si="2"/>
        <v>I A</v>
      </c>
      <c r="J22" s="52" t="s">
        <v>590</v>
      </c>
      <c r="K22" s="307" t="s">
        <v>591</v>
      </c>
      <c r="L22" s="263">
        <v>2</v>
      </c>
      <c r="M22" s="308"/>
      <c r="IK22" s="18"/>
      <c r="IL22" s="18"/>
      <c r="IM22" s="18"/>
    </row>
    <row r="23" spans="1:247" ht="16.350000000000001" customHeight="1">
      <c r="A23" s="202">
        <v>3</v>
      </c>
      <c r="B23" s="44">
        <v>374</v>
      </c>
      <c r="C23" s="160" t="s">
        <v>573</v>
      </c>
      <c r="D23" s="161" t="s">
        <v>592</v>
      </c>
      <c r="E23" s="47" t="s">
        <v>593</v>
      </c>
      <c r="F23" s="48" t="s">
        <v>17</v>
      </c>
      <c r="G23" s="306">
        <f t="shared" si="1"/>
        <v>760</v>
      </c>
      <c r="H23" s="204">
        <v>1.4113425925925925E-3</v>
      </c>
      <c r="I23" s="264" t="str">
        <f t="shared" si="2"/>
        <v>I A</v>
      </c>
      <c r="J23" s="52" t="s">
        <v>488</v>
      </c>
      <c r="K23" s="307" t="s">
        <v>594</v>
      </c>
      <c r="L23" s="263">
        <v>2</v>
      </c>
      <c r="M23" s="308"/>
      <c r="IK23" s="18"/>
      <c r="IL23" s="18"/>
      <c r="IM23" s="18"/>
    </row>
    <row r="24" spans="1:247" ht="16.350000000000001" customHeight="1">
      <c r="A24" s="202">
        <v>4</v>
      </c>
      <c r="B24" s="44">
        <v>287</v>
      </c>
      <c r="C24" s="160" t="s">
        <v>245</v>
      </c>
      <c r="D24" s="161" t="s">
        <v>595</v>
      </c>
      <c r="E24" s="47" t="s">
        <v>596</v>
      </c>
      <c r="F24" s="48" t="s">
        <v>49</v>
      </c>
      <c r="G24" s="306">
        <f t="shared" si="1"/>
        <v>740</v>
      </c>
      <c r="H24" s="204">
        <v>1.4207175925925926E-3</v>
      </c>
      <c r="I24" s="264" t="str">
        <f t="shared" si="2"/>
        <v>I A</v>
      </c>
      <c r="J24" s="52" t="s">
        <v>597</v>
      </c>
      <c r="K24" s="307" t="s">
        <v>598</v>
      </c>
      <c r="L24" s="263">
        <v>2</v>
      </c>
      <c r="M24" s="308"/>
      <c r="IK24" s="18"/>
      <c r="IL24" s="18"/>
      <c r="IM24" s="18"/>
    </row>
    <row r="25" spans="1:247" ht="16.350000000000001" customHeight="1">
      <c r="A25" s="202">
        <v>5</v>
      </c>
      <c r="B25" s="44">
        <v>283</v>
      </c>
      <c r="C25" s="160" t="s">
        <v>599</v>
      </c>
      <c r="D25" s="161" t="s">
        <v>600</v>
      </c>
      <c r="E25" s="47" t="s">
        <v>601</v>
      </c>
      <c r="F25" s="48" t="s">
        <v>49</v>
      </c>
      <c r="G25" s="306">
        <f t="shared" si="1"/>
        <v>708</v>
      </c>
      <c r="H25" s="204">
        <v>1.4361111111111111E-3</v>
      </c>
      <c r="I25" s="264" t="str">
        <f t="shared" si="2"/>
        <v>II A</v>
      </c>
      <c r="J25" s="52" t="s">
        <v>602</v>
      </c>
      <c r="K25" s="307" t="s">
        <v>603</v>
      </c>
      <c r="L25" s="263">
        <v>2</v>
      </c>
      <c r="M25" s="308"/>
      <c r="IK25" s="18"/>
      <c r="IL25" s="18"/>
      <c r="IM25" s="18"/>
    </row>
    <row r="26" spans="1:247" ht="16.350000000000001" customHeight="1">
      <c r="A26" s="202">
        <v>6</v>
      </c>
      <c r="B26" s="44">
        <v>348</v>
      </c>
      <c r="C26" s="160" t="s">
        <v>604</v>
      </c>
      <c r="D26" s="161" t="s">
        <v>605</v>
      </c>
      <c r="E26" s="47" t="s">
        <v>606</v>
      </c>
      <c r="F26" s="48" t="s">
        <v>54</v>
      </c>
      <c r="G26" s="306">
        <f t="shared" si="1"/>
        <v>671</v>
      </c>
      <c r="H26" s="204">
        <v>1.4545138888888889E-3</v>
      </c>
      <c r="I26" s="264" t="str">
        <f t="shared" si="2"/>
        <v>II A</v>
      </c>
      <c r="J26" s="52" t="s">
        <v>344</v>
      </c>
      <c r="K26" s="307" t="s">
        <v>108</v>
      </c>
      <c r="L26" s="263">
        <v>1</v>
      </c>
      <c r="M26" s="308"/>
      <c r="IK26" s="18"/>
      <c r="IL26" s="18"/>
      <c r="IM26" s="18"/>
    </row>
    <row r="27" spans="1:247" ht="16.350000000000001" customHeight="1">
      <c r="A27" s="202">
        <v>7</v>
      </c>
      <c r="B27" s="44">
        <v>276</v>
      </c>
      <c r="C27" s="160" t="s">
        <v>366</v>
      </c>
      <c r="D27" s="161" t="s">
        <v>607</v>
      </c>
      <c r="E27" s="47" t="s">
        <v>608</v>
      </c>
      <c r="F27" s="48" t="s">
        <v>49</v>
      </c>
      <c r="G27" s="306">
        <f t="shared" si="1"/>
        <v>440</v>
      </c>
      <c r="H27" s="204">
        <v>1.5826388888888889E-3</v>
      </c>
      <c r="I27" s="264" t="str">
        <f t="shared" si="2"/>
        <v>III A</v>
      </c>
      <c r="J27" s="52" t="s">
        <v>550</v>
      </c>
      <c r="K27" s="307" t="s">
        <v>108</v>
      </c>
      <c r="L27" s="263">
        <v>1</v>
      </c>
      <c r="M27" s="308"/>
      <c r="IK27" s="18"/>
      <c r="IL27" s="18"/>
      <c r="IM27" s="18"/>
    </row>
    <row r="28" spans="1:247" ht="16.350000000000001" customHeight="1">
      <c r="A28" s="202"/>
      <c r="B28" s="44">
        <v>363</v>
      </c>
      <c r="C28" s="160" t="s">
        <v>500</v>
      </c>
      <c r="D28" s="161" t="s">
        <v>517</v>
      </c>
      <c r="E28" s="47" t="s">
        <v>518</v>
      </c>
      <c r="F28" s="48" t="s">
        <v>54</v>
      </c>
      <c r="G28" s="306"/>
      <c r="H28" s="204" t="s">
        <v>30</v>
      </c>
      <c r="I28" s="264" t="str">
        <f t="shared" si="2"/>
        <v/>
      </c>
      <c r="J28" s="52" t="s">
        <v>79</v>
      </c>
      <c r="K28" s="307" t="s">
        <v>609</v>
      </c>
      <c r="L28" s="263">
        <v>2</v>
      </c>
      <c r="M28" s="308"/>
      <c r="IK28" s="18"/>
      <c r="IL28" s="18"/>
      <c r="IM28" s="18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M23"/>
  <sheetViews>
    <sheetView zoomScaleNormal="100" workbookViewId="0">
      <selection activeCell="A2" sqref="A2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6" bestFit="1" customWidth="1"/>
    <col min="9" max="9" width="5.140625" style="24" customWidth="1"/>
    <col min="10" max="10" width="27.5703125" style="18" customWidth="1"/>
    <col min="11" max="11" width="5.42578125" style="55" hidden="1" customWidth="1"/>
    <col min="12" max="12" width="4.42578125" style="18" hidden="1" customWidth="1"/>
    <col min="13" max="13" width="2.7109375" style="24" customWidth="1"/>
    <col min="14" max="15" width="9.140625" style="18" customWidth="1"/>
    <col min="16" max="244" width="9.140625" style="18"/>
    <col min="245" max="16384" width="9.140625" style="7"/>
  </cols>
  <sheetData>
    <row r="1" spans="1:247" s="2" customFormat="1" ht="18.75">
      <c r="A1" s="1" t="s">
        <v>0</v>
      </c>
      <c r="E1" s="3"/>
      <c r="F1" s="4"/>
      <c r="G1" s="5"/>
      <c r="H1" s="6"/>
      <c r="I1" s="3"/>
      <c r="K1" s="20"/>
      <c r="M1" s="3"/>
      <c r="IK1" s="7"/>
    </row>
    <row r="2" spans="1:247" s="2" customFormat="1" ht="13.5" customHeight="1">
      <c r="E2" s="3"/>
      <c r="F2" s="4"/>
      <c r="G2" s="5"/>
      <c r="H2" s="6"/>
      <c r="I2" s="3"/>
      <c r="J2" s="8" t="s">
        <v>1</v>
      </c>
      <c r="K2" s="20"/>
      <c r="M2" s="3"/>
      <c r="IK2" s="7"/>
    </row>
    <row r="3" spans="1:247" s="9" customFormat="1" ht="4.5" customHeight="1">
      <c r="C3" s="10"/>
      <c r="E3" s="11">
        <v>1.1574074074074073E-5</v>
      </c>
      <c r="F3" s="12"/>
      <c r="G3" s="13"/>
      <c r="H3" s="14"/>
      <c r="I3" s="16"/>
      <c r="J3" s="17"/>
      <c r="K3" s="55"/>
      <c r="M3" s="298"/>
    </row>
    <row r="4" spans="1:247" ht="15.75">
      <c r="C4" s="19" t="s">
        <v>559</v>
      </c>
      <c r="E4" s="20"/>
      <c r="F4" s="21"/>
      <c r="J4" s="299" t="s">
        <v>3</v>
      </c>
    </row>
    <row r="5" spans="1:247" s="9" customFormat="1" ht="4.5" customHeight="1">
      <c r="C5" s="10"/>
      <c r="E5" s="26"/>
      <c r="F5" s="12"/>
      <c r="G5" s="13"/>
      <c r="H5" s="14"/>
      <c r="I5" s="16"/>
      <c r="J5" s="300"/>
      <c r="K5" s="55"/>
      <c r="M5" s="298"/>
    </row>
    <row r="6" spans="1:247" s="9" customFormat="1" ht="12.75" customHeight="1">
      <c r="C6" s="18"/>
      <c r="D6" s="27"/>
      <c r="E6" s="28" t="s">
        <v>445</v>
      </c>
      <c r="F6" s="29"/>
      <c r="G6" s="13"/>
      <c r="H6" s="14"/>
      <c r="I6" s="16"/>
      <c r="J6" s="17"/>
      <c r="K6" s="55"/>
      <c r="M6" s="298"/>
    </row>
    <row r="7" spans="1:247" s="9" customFormat="1" ht="6" customHeight="1">
      <c r="E7" s="30"/>
      <c r="F7" s="31"/>
      <c r="G7" s="13"/>
      <c r="H7" s="32"/>
      <c r="I7" s="16"/>
      <c r="J7" s="17"/>
      <c r="K7" s="55"/>
      <c r="M7" s="298"/>
    </row>
    <row r="8" spans="1:247" ht="11.25" customHeight="1">
      <c r="A8" s="301" t="s">
        <v>29</v>
      </c>
      <c r="B8" s="301" t="s">
        <v>4</v>
      </c>
      <c r="C8" s="302" t="s">
        <v>5</v>
      </c>
      <c r="D8" s="303" t="s">
        <v>6</v>
      </c>
      <c r="E8" s="304" t="s">
        <v>7</v>
      </c>
      <c r="F8" s="38" t="s">
        <v>8</v>
      </c>
      <c r="G8" s="39" t="s">
        <v>9</v>
      </c>
      <c r="H8" s="40" t="s">
        <v>10</v>
      </c>
      <c r="I8" s="42" t="s">
        <v>12</v>
      </c>
      <c r="J8" s="33" t="s">
        <v>13</v>
      </c>
      <c r="K8" s="305" t="s">
        <v>103</v>
      </c>
      <c r="L8" s="18" t="s">
        <v>104</v>
      </c>
      <c r="M8" s="176"/>
    </row>
    <row r="9" spans="1:247" ht="16.350000000000001" customHeight="1">
      <c r="A9" s="202">
        <v>1</v>
      </c>
      <c r="B9" s="44">
        <v>347</v>
      </c>
      <c r="C9" s="160" t="s">
        <v>583</v>
      </c>
      <c r="D9" s="161" t="s">
        <v>584</v>
      </c>
      <c r="E9" s="47" t="s">
        <v>585</v>
      </c>
      <c r="F9" s="48" t="s">
        <v>54</v>
      </c>
      <c r="G9" s="306">
        <f t="shared" ref="G9:G18" si="0">IF(ISBLANK(H9),"",TRUNC(0.1974*((H9/$E$3)-184)^2))</f>
        <v>782</v>
      </c>
      <c r="H9" s="204">
        <v>1.4008101851851853E-3</v>
      </c>
      <c r="I9" s="264" t="str">
        <f t="shared" ref="I9:I23" si="1">IF(ISBLANK(H9),"",IF(H9&gt;0.00171296296296296,"",IF(H9&lt;=0.00125694444444444,"TSM",IF(H9&lt;=0.00129050925925926,"SM",IF(H9&lt;=0.00134259259259259,"KSM",IF(H9&lt;=0.00142361111111111,"I A",IF(H9&lt;=0.00155092592592593,"II A",IF(H9&lt;=0.00171296296296296,"III A"))))))))</f>
        <v>I A</v>
      </c>
      <c r="J9" s="52" t="s">
        <v>586</v>
      </c>
      <c r="K9" s="307" t="s">
        <v>108</v>
      </c>
      <c r="L9" s="263">
        <v>2</v>
      </c>
      <c r="M9" s="308"/>
      <c r="IK9" s="18"/>
      <c r="IL9" s="18"/>
      <c r="IM9" s="18"/>
    </row>
    <row r="10" spans="1:247" ht="16.350000000000001" customHeight="1">
      <c r="A10" s="202">
        <v>2</v>
      </c>
      <c r="B10" s="44">
        <v>308</v>
      </c>
      <c r="C10" s="160" t="s">
        <v>587</v>
      </c>
      <c r="D10" s="161" t="s">
        <v>588</v>
      </c>
      <c r="E10" s="47" t="s">
        <v>589</v>
      </c>
      <c r="F10" s="48" t="s">
        <v>243</v>
      </c>
      <c r="G10" s="306">
        <f t="shared" si="0"/>
        <v>763</v>
      </c>
      <c r="H10" s="204">
        <v>1.4097222222222221E-3</v>
      </c>
      <c r="I10" s="264" t="str">
        <f t="shared" si="1"/>
        <v>I A</v>
      </c>
      <c r="J10" s="52" t="s">
        <v>590</v>
      </c>
      <c r="K10" s="307" t="s">
        <v>591</v>
      </c>
      <c r="L10" s="263">
        <v>2</v>
      </c>
      <c r="M10" s="308"/>
      <c r="IK10" s="18"/>
      <c r="IL10" s="18"/>
      <c r="IM10" s="18"/>
    </row>
    <row r="11" spans="1:247" ht="16.350000000000001" customHeight="1">
      <c r="A11" s="202">
        <v>3</v>
      </c>
      <c r="B11" s="44">
        <v>374</v>
      </c>
      <c r="C11" s="160" t="s">
        <v>573</v>
      </c>
      <c r="D11" s="161" t="s">
        <v>592</v>
      </c>
      <c r="E11" s="47" t="s">
        <v>593</v>
      </c>
      <c r="F11" s="48" t="s">
        <v>17</v>
      </c>
      <c r="G11" s="306">
        <f t="shared" si="0"/>
        <v>760</v>
      </c>
      <c r="H11" s="204">
        <v>1.4113425925925925E-3</v>
      </c>
      <c r="I11" s="264" t="str">
        <f t="shared" si="1"/>
        <v>I A</v>
      </c>
      <c r="J11" s="52" t="s">
        <v>488</v>
      </c>
      <c r="K11" s="307" t="s">
        <v>594</v>
      </c>
      <c r="L11" s="263">
        <v>2</v>
      </c>
      <c r="M11" s="308"/>
      <c r="IK11" s="18"/>
      <c r="IL11" s="18"/>
      <c r="IM11" s="18"/>
    </row>
    <row r="12" spans="1:247" ht="16.350000000000001" customHeight="1">
      <c r="A12" s="202">
        <v>4</v>
      </c>
      <c r="B12" s="44">
        <v>287</v>
      </c>
      <c r="C12" s="160" t="s">
        <v>245</v>
      </c>
      <c r="D12" s="161" t="s">
        <v>595</v>
      </c>
      <c r="E12" s="47" t="s">
        <v>596</v>
      </c>
      <c r="F12" s="48" t="s">
        <v>49</v>
      </c>
      <c r="G12" s="306">
        <f t="shared" si="0"/>
        <v>740</v>
      </c>
      <c r="H12" s="204">
        <v>1.4207175925925926E-3</v>
      </c>
      <c r="I12" s="264" t="str">
        <f t="shared" si="1"/>
        <v>I A</v>
      </c>
      <c r="J12" s="52" t="s">
        <v>597</v>
      </c>
      <c r="K12" s="307" t="s">
        <v>598</v>
      </c>
      <c r="L12" s="263">
        <v>2</v>
      </c>
      <c r="M12" s="308"/>
      <c r="IK12" s="18"/>
      <c r="IL12" s="18"/>
      <c r="IM12" s="18"/>
    </row>
    <row r="13" spans="1:247" ht="16.350000000000001" customHeight="1">
      <c r="A13" s="202">
        <v>5</v>
      </c>
      <c r="B13" s="44">
        <v>283</v>
      </c>
      <c r="C13" s="160" t="s">
        <v>599</v>
      </c>
      <c r="D13" s="161" t="s">
        <v>600</v>
      </c>
      <c r="E13" s="47" t="s">
        <v>601</v>
      </c>
      <c r="F13" s="48" t="s">
        <v>49</v>
      </c>
      <c r="G13" s="306">
        <f t="shared" si="0"/>
        <v>708</v>
      </c>
      <c r="H13" s="204">
        <v>1.4361111111111111E-3</v>
      </c>
      <c r="I13" s="264" t="str">
        <f t="shared" si="1"/>
        <v>II A</v>
      </c>
      <c r="J13" s="52" t="s">
        <v>602</v>
      </c>
      <c r="K13" s="307" t="s">
        <v>603</v>
      </c>
      <c r="L13" s="263">
        <v>2</v>
      </c>
      <c r="M13" s="308"/>
      <c r="IK13" s="18"/>
      <c r="IL13" s="18"/>
      <c r="IM13" s="18"/>
    </row>
    <row r="14" spans="1:247" ht="16.350000000000001" customHeight="1">
      <c r="A14" s="202">
        <v>6</v>
      </c>
      <c r="B14" s="44">
        <v>348</v>
      </c>
      <c r="C14" s="160" t="s">
        <v>604</v>
      </c>
      <c r="D14" s="161" t="s">
        <v>605</v>
      </c>
      <c r="E14" s="47" t="s">
        <v>606</v>
      </c>
      <c r="F14" s="48" t="s">
        <v>54</v>
      </c>
      <c r="G14" s="306">
        <f t="shared" si="0"/>
        <v>671</v>
      </c>
      <c r="H14" s="204">
        <v>1.4545138888888889E-3</v>
      </c>
      <c r="I14" s="264" t="str">
        <f t="shared" si="1"/>
        <v>II A</v>
      </c>
      <c r="J14" s="52" t="s">
        <v>344</v>
      </c>
      <c r="K14" s="307" t="s">
        <v>108</v>
      </c>
      <c r="L14" s="263">
        <v>1</v>
      </c>
      <c r="M14" s="308"/>
      <c r="IK14" s="18"/>
      <c r="IL14" s="18"/>
      <c r="IM14" s="18"/>
    </row>
    <row r="15" spans="1:247" ht="16.350000000000001" customHeight="1">
      <c r="A15" s="202">
        <v>7</v>
      </c>
      <c r="B15" s="44">
        <v>293</v>
      </c>
      <c r="C15" s="160" t="s">
        <v>345</v>
      </c>
      <c r="D15" s="161" t="s">
        <v>560</v>
      </c>
      <c r="E15" s="47" t="s">
        <v>561</v>
      </c>
      <c r="F15" s="48" t="s">
        <v>212</v>
      </c>
      <c r="G15" s="306">
        <f t="shared" si="0"/>
        <v>626</v>
      </c>
      <c r="H15" s="204">
        <v>1.4774305555555556E-3</v>
      </c>
      <c r="I15" s="264" t="str">
        <f t="shared" si="1"/>
        <v>II A</v>
      </c>
      <c r="J15" s="52" t="s">
        <v>503</v>
      </c>
      <c r="K15" s="307" t="s">
        <v>108</v>
      </c>
      <c r="L15" s="263">
        <v>1</v>
      </c>
      <c r="M15" s="308"/>
      <c r="IK15" s="18"/>
      <c r="IL15" s="18"/>
      <c r="IM15" s="18"/>
    </row>
    <row r="16" spans="1:247" ht="16.350000000000001" customHeight="1">
      <c r="A16" s="202">
        <v>8</v>
      </c>
      <c r="B16" s="44">
        <v>344</v>
      </c>
      <c r="C16" s="160" t="s">
        <v>354</v>
      </c>
      <c r="D16" s="161" t="s">
        <v>562</v>
      </c>
      <c r="E16" s="47" t="s">
        <v>563</v>
      </c>
      <c r="F16" s="48" t="s">
        <v>54</v>
      </c>
      <c r="G16" s="306">
        <f t="shared" si="0"/>
        <v>490</v>
      </c>
      <c r="H16" s="204">
        <v>1.5527777777777779E-3</v>
      </c>
      <c r="I16" s="264" t="str">
        <f t="shared" si="1"/>
        <v>III A</v>
      </c>
      <c r="J16" s="52" t="s">
        <v>79</v>
      </c>
      <c r="K16" s="307" t="s">
        <v>564</v>
      </c>
      <c r="L16" s="263">
        <v>1</v>
      </c>
      <c r="M16" s="308"/>
      <c r="IK16" s="18"/>
      <c r="IL16" s="18"/>
      <c r="IM16" s="18"/>
    </row>
    <row r="17" spans="1:247" ht="16.350000000000001" customHeight="1">
      <c r="A17" s="202">
        <v>9</v>
      </c>
      <c r="B17" s="44">
        <v>276</v>
      </c>
      <c r="C17" s="160" t="s">
        <v>366</v>
      </c>
      <c r="D17" s="161" t="s">
        <v>607</v>
      </c>
      <c r="E17" s="47" t="s">
        <v>608</v>
      </c>
      <c r="F17" s="48" t="s">
        <v>49</v>
      </c>
      <c r="G17" s="306">
        <f t="shared" si="0"/>
        <v>440</v>
      </c>
      <c r="H17" s="204">
        <v>1.5826388888888889E-3</v>
      </c>
      <c r="I17" s="264" t="str">
        <f t="shared" si="1"/>
        <v>III A</v>
      </c>
      <c r="J17" s="52" t="s">
        <v>550</v>
      </c>
      <c r="K17" s="307" t="s">
        <v>108</v>
      </c>
      <c r="L17" s="263">
        <v>1</v>
      </c>
      <c r="M17" s="308"/>
      <c r="IK17" s="18"/>
      <c r="IL17" s="18"/>
      <c r="IM17" s="18"/>
    </row>
    <row r="18" spans="1:247" ht="16.350000000000001" customHeight="1">
      <c r="A18" s="202">
        <v>10</v>
      </c>
      <c r="B18" s="44">
        <v>306</v>
      </c>
      <c r="C18" s="160" t="s">
        <v>565</v>
      </c>
      <c r="D18" s="161" t="s">
        <v>566</v>
      </c>
      <c r="E18" s="47" t="s">
        <v>567</v>
      </c>
      <c r="F18" s="48" t="s">
        <v>243</v>
      </c>
      <c r="G18" s="306">
        <f t="shared" si="0"/>
        <v>325</v>
      </c>
      <c r="H18" s="204">
        <v>1.6594907407407409E-3</v>
      </c>
      <c r="I18" s="264" t="str">
        <f t="shared" si="1"/>
        <v>III A</v>
      </c>
      <c r="J18" s="52" t="s">
        <v>568</v>
      </c>
      <c r="K18" s="307" t="s">
        <v>108</v>
      </c>
      <c r="L18" s="263">
        <v>1</v>
      </c>
      <c r="M18" s="308"/>
      <c r="IK18" s="18"/>
      <c r="IL18" s="18"/>
      <c r="IM18" s="18"/>
    </row>
    <row r="19" spans="1:247" ht="16.350000000000001" customHeight="1">
      <c r="A19" s="202" t="s">
        <v>23</v>
      </c>
      <c r="B19" s="44">
        <v>319</v>
      </c>
      <c r="C19" s="160" t="s">
        <v>569</v>
      </c>
      <c r="D19" s="161" t="s">
        <v>570</v>
      </c>
      <c r="E19" s="47" t="s">
        <v>571</v>
      </c>
      <c r="F19" s="48" t="s">
        <v>138</v>
      </c>
      <c r="G19" s="306" t="s">
        <v>23</v>
      </c>
      <c r="H19" s="204">
        <v>1.4690972222222221E-3</v>
      </c>
      <c r="I19" s="264" t="str">
        <f t="shared" si="1"/>
        <v>II A</v>
      </c>
      <c r="J19" s="52" t="s">
        <v>244</v>
      </c>
      <c r="K19" s="307" t="s">
        <v>572</v>
      </c>
      <c r="L19" s="263">
        <v>1</v>
      </c>
      <c r="M19" s="308"/>
      <c r="IK19" s="18"/>
      <c r="IL19" s="18"/>
      <c r="IM19" s="18"/>
    </row>
    <row r="20" spans="1:247" ht="16.350000000000001" customHeight="1">
      <c r="A20" s="202" t="s">
        <v>23</v>
      </c>
      <c r="B20" s="44">
        <v>334</v>
      </c>
      <c r="C20" s="160" t="s">
        <v>573</v>
      </c>
      <c r="D20" s="161" t="s">
        <v>574</v>
      </c>
      <c r="E20" s="47" t="s">
        <v>575</v>
      </c>
      <c r="F20" s="48" t="s">
        <v>205</v>
      </c>
      <c r="G20" s="306" t="s">
        <v>23</v>
      </c>
      <c r="H20" s="204">
        <v>1.6046296296296297E-3</v>
      </c>
      <c r="I20" s="264" t="str">
        <f t="shared" si="1"/>
        <v>III A</v>
      </c>
      <c r="J20" s="52" t="s">
        <v>206</v>
      </c>
      <c r="K20" s="307" t="s">
        <v>576</v>
      </c>
      <c r="L20" s="263">
        <v>1</v>
      </c>
      <c r="M20" s="308"/>
      <c r="IK20" s="18"/>
      <c r="IL20" s="18"/>
      <c r="IM20" s="18"/>
    </row>
    <row r="21" spans="1:247" ht="16.350000000000001" customHeight="1">
      <c r="A21" s="202"/>
      <c r="B21" s="44">
        <v>313</v>
      </c>
      <c r="C21" s="160" t="s">
        <v>237</v>
      </c>
      <c r="D21" s="161" t="s">
        <v>577</v>
      </c>
      <c r="E21" s="47" t="s">
        <v>578</v>
      </c>
      <c r="F21" s="48" t="s">
        <v>243</v>
      </c>
      <c r="G21" s="306"/>
      <c r="H21" s="204" t="s">
        <v>30</v>
      </c>
      <c r="I21" s="264" t="str">
        <f t="shared" si="1"/>
        <v/>
      </c>
      <c r="J21" s="52" t="s">
        <v>579</v>
      </c>
      <c r="K21" s="307" t="s">
        <v>108</v>
      </c>
      <c r="L21" s="263">
        <v>1</v>
      </c>
      <c r="M21" s="308"/>
      <c r="IK21" s="18"/>
      <c r="IL21" s="18"/>
      <c r="IM21" s="18"/>
    </row>
    <row r="22" spans="1:247" ht="16.350000000000001" customHeight="1">
      <c r="A22" s="202"/>
      <c r="B22" s="44">
        <v>363</v>
      </c>
      <c r="C22" s="160" t="s">
        <v>500</v>
      </c>
      <c r="D22" s="161" t="s">
        <v>517</v>
      </c>
      <c r="E22" s="47" t="s">
        <v>518</v>
      </c>
      <c r="F22" s="48" t="s">
        <v>54</v>
      </c>
      <c r="G22" s="306"/>
      <c r="H22" s="204" t="s">
        <v>30</v>
      </c>
      <c r="I22" s="264" t="str">
        <f t="shared" si="1"/>
        <v/>
      </c>
      <c r="J22" s="52" t="s">
        <v>79</v>
      </c>
      <c r="K22" s="307" t="s">
        <v>609</v>
      </c>
      <c r="L22" s="263">
        <v>2</v>
      </c>
      <c r="M22" s="308"/>
      <c r="IK22" s="18"/>
      <c r="IL22" s="18"/>
      <c r="IM22" s="18"/>
    </row>
    <row r="23" spans="1:247" ht="16.350000000000001" customHeight="1">
      <c r="A23" s="202"/>
      <c r="B23" s="44">
        <v>264</v>
      </c>
      <c r="C23" s="160" t="s">
        <v>358</v>
      </c>
      <c r="D23" s="161" t="s">
        <v>580</v>
      </c>
      <c r="E23" s="47" t="s">
        <v>581</v>
      </c>
      <c r="F23" s="48" t="s">
        <v>582</v>
      </c>
      <c r="G23" s="306" t="s">
        <v>23</v>
      </c>
      <c r="H23" s="204" t="s">
        <v>30</v>
      </c>
      <c r="I23" s="264" t="str">
        <f t="shared" si="1"/>
        <v/>
      </c>
      <c r="J23" s="52" t="s">
        <v>503</v>
      </c>
      <c r="K23" s="307" t="s">
        <v>108</v>
      </c>
      <c r="L23" s="263">
        <v>1</v>
      </c>
      <c r="M23" s="308"/>
      <c r="IK23" s="18"/>
      <c r="IL23" s="18"/>
      <c r="IM23" s="18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O15"/>
  <sheetViews>
    <sheetView workbookViewId="0">
      <selection activeCell="A2" sqref="A2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6" bestFit="1" customWidth="1"/>
    <col min="9" max="9" width="5.140625" style="24" customWidth="1"/>
    <col min="10" max="10" width="24.5703125" style="18" customWidth="1"/>
    <col min="11" max="11" width="7" style="18" hidden="1" customWidth="1"/>
    <col min="12" max="12" width="7" style="18" customWidth="1"/>
    <col min="13" max="13" width="5.28515625" style="261" customWidth="1"/>
    <col min="14" max="248" width="9.140625" style="18"/>
    <col min="249" max="16384" width="9.140625" style="7"/>
  </cols>
  <sheetData>
    <row r="1" spans="1:249" s="2" customFormat="1" ht="18.75">
      <c r="A1" s="1" t="s">
        <v>0</v>
      </c>
      <c r="E1" s="3"/>
      <c r="F1" s="4"/>
      <c r="G1" s="5"/>
      <c r="H1" s="6"/>
      <c r="I1" s="3"/>
      <c r="M1" s="272"/>
      <c r="IO1" s="7"/>
    </row>
    <row r="2" spans="1:249" s="2" customFormat="1" ht="13.5" customHeight="1">
      <c r="E2" s="3"/>
      <c r="F2" s="4"/>
      <c r="G2" s="5"/>
      <c r="H2" s="6"/>
      <c r="I2" s="3"/>
      <c r="J2" s="8" t="s">
        <v>1</v>
      </c>
      <c r="M2" s="272"/>
      <c r="IO2" s="7"/>
    </row>
    <row r="3" spans="1:249" s="9" customFormat="1" ht="4.5" customHeight="1">
      <c r="C3" s="10"/>
      <c r="E3" s="11">
        <v>1.1574074074074073E-5</v>
      </c>
      <c r="F3" s="12"/>
      <c r="G3" s="13"/>
      <c r="H3" s="14"/>
      <c r="I3" s="16"/>
      <c r="J3" s="17"/>
      <c r="M3" s="70"/>
    </row>
    <row r="4" spans="1:249" ht="15.75">
      <c r="C4" s="19" t="s">
        <v>660</v>
      </c>
      <c r="E4" s="20"/>
      <c r="F4" s="21"/>
      <c r="J4" s="25" t="s">
        <v>3</v>
      </c>
    </row>
    <row r="5" spans="1:249" s="9" customFormat="1" ht="4.5" customHeight="1">
      <c r="C5" s="10"/>
      <c r="E5" s="26"/>
      <c r="F5" s="12"/>
      <c r="G5" s="13"/>
      <c r="H5" s="14"/>
      <c r="I5" s="16"/>
      <c r="J5" s="17"/>
      <c r="M5" s="70"/>
    </row>
    <row r="6" spans="1:249" s="9" customFormat="1" ht="12.75" customHeight="1">
      <c r="C6" s="18"/>
      <c r="D6" s="27"/>
      <c r="E6" s="28"/>
      <c r="F6" s="29"/>
      <c r="G6" s="13"/>
      <c r="H6" s="14"/>
      <c r="I6" s="16"/>
      <c r="J6" s="17"/>
      <c r="M6" s="70"/>
    </row>
    <row r="7" spans="1:249" s="9" customFormat="1" ht="6" customHeight="1">
      <c r="E7" s="30"/>
      <c r="F7" s="31"/>
      <c r="G7" s="13"/>
      <c r="H7" s="32"/>
      <c r="I7" s="16"/>
      <c r="J7" s="17"/>
      <c r="M7" s="70"/>
    </row>
    <row r="8" spans="1:249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40" t="s">
        <v>10</v>
      </c>
      <c r="I8" s="42" t="s">
        <v>12</v>
      </c>
      <c r="J8" s="33" t="s">
        <v>13</v>
      </c>
      <c r="K8" s="337" t="s">
        <v>103</v>
      </c>
      <c r="L8" s="337"/>
    </row>
    <row r="9" spans="1:249" ht="16.350000000000001" customHeight="1">
      <c r="A9" s="202">
        <v>1</v>
      </c>
      <c r="B9" s="44">
        <v>292</v>
      </c>
      <c r="C9" s="160" t="s">
        <v>661</v>
      </c>
      <c r="D9" s="161" t="s">
        <v>662</v>
      </c>
      <c r="E9" s="185" t="s">
        <v>663</v>
      </c>
      <c r="F9" s="48" t="s">
        <v>212</v>
      </c>
      <c r="G9" s="203">
        <f t="shared" ref="G9:G12" si="0">IF(ISBLANK(H9),"",TRUNC(0.01365*((H9/$E$3)-540)^2))</f>
        <v>906</v>
      </c>
      <c r="H9" s="204">
        <v>3.2667824074074075E-3</v>
      </c>
      <c r="I9" s="205" t="str">
        <f t="shared" ref="I9:I12" si="1">IF(ISBLANK(H9),"",IF(H9&gt;0.00398148148148148,"",IF(H9&lt;=0.00290509259259259,"TSM",IF(H9&lt;=0.00300925925925926,"SM",IF(H9&lt;=0.0031712962962963,"KSM",IF(H9&lt;=0.00337962962962963,"I A",IF(H9&lt;=0.00363425925925926,"II A",IF(H9&lt;=0.00398148148148148,"III A"))))))))</f>
        <v>I A</v>
      </c>
      <c r="J9" s="52" t="s">
        <v>664</v>
      </c>
      <c r="K9" s="338" t="s">
        <v>108</v>
      </c>
      <c r="L9" s="339"/>
      <c r="M9" s="206"/>
    </row>
    <row r="10" spans="1:249" ht="16.350000000000001" customHeight="1">
      <c r="A10" s="202">
        <v>2</v>
      </c>
      <c r="B10" s="44">
        <v>366</v>
      </c>
      <c r="C10" s="160" t="s">
        <v>665</v>
      </c>
      <c r="D10" s="161" t="s">
        <v>666</v>
      </c>
      <c r="E10" s="185" t="s">
        <v>667</v>
      </c>
      <c r="F10" s="48" t="s">
        <v>184</v>
      </c>
      <c r="G10" s="203">
        <f t="shared" si="0"/>
        <v>719</v>
      </c>
      <c r="H10" s="204">
        <v>3.5921296296296291E-3</v>
      </c>
      <c r="I10" s="205" t="str">
        <f t="shared" si="1"/>
        <v>II A</v>
      </c>
      <c r="J10" s="52" t="s">
        <v>668</v>
      </c>
      <c r="K10" s="338" t="s">
        <v>108</v>
      </c>
      <c r="L10" s="339"/>
      <c r="M10" s="206"/>
    </row>
    <row r="11" spans="1:249" ht="16.350000000000001" customHeight="1">
      <c r="A11" s="202">
        <v>3</v>
      </c>
      <c r="B11" s="44">
        <v>237</v>
      </c>
      <c r="C11" s="160" t="s">
        <v>669</v>
      </c>
      <c r="D11" s="161" t="s">
        <v>670</v>
      </c>
      <c r="E11" s="185" t="s">
        <v>671</v>
      </c>
      <c r="F11" s="48" t="s">
        <v>44</v>
      </c>
      <c r="G11" s="203">
        <f t="shared" si="0"/>
        <v>678</v>
      </c>
      <c r="H11" s="204">
        <v>3.6689814814814814E-3</v>
      </c>
      <c r="I11" s="205" t="str">
        <f t="shared" si="1"/>
        <v>III A</v>
      </c>
      <c r="J11" s="52" t="s">
        <v>634</v>
      </c>
      <c r="K11" s="338" t="s">
        <v>108</v>
      </c>
      <c r="L11" s="339"/>
      <c r="M11" s="206"/>
    </row>
    <row r="12" spans="1:249" ht="16.350000000000001" customHeight="1">
      <c r="A12" s="202">
        <v>4</v>
      </c>
      <c r="B12" s="44">
        <v>253</v>
      </c>
      <c r="C12" s="160" t="s">
        <v>14</v>
      </c>
      <c r="D12" s="161" t="s">
        <v>461</v>
      </c>
      <c r="E12" s="185" t="s">
        <v>460</v>
      </c>
      <c r="F12" s="48" t="s">
        <v>75</v>
      </c>
      <c r="G12" s="203">
        <f t="shared" si="0"/>
        <v>551</v>
      </c>
      <c r="H12" s="204">
        <v>3.9229166666666666E-3</v>
      </c>
      <c r="I12" s="205" t="str">
        <f t="shared" si="1"/>
        <v>III A</v>
      </c>
      <c r="J12" s="52" t="s">
        <v>459</v>
      </c>
      <c r="K12" s="338" t="s">
        <v>108</v>
      </c>
      <c r="L12" s="339"/>
      <c r="M12" s="206"/>
    </row>
    <row r="13" spans="1:249" ht="16.350000000000001" customHeight="1">
      <c r="A13" s="202"/>
      <c r="B13" s="44">
        <v>297</v>
      </c>
      <c r="C13" s="160" t="s">
        <v>672</v>
      </c>
      <c r="D13" s="161" t="s">
        <v>673</v>
      </c>
      <c r="E13" s="185" t="s">
        <v>674</v>
      </c>
      <c r="F13" s="48" t="s">
        <v>212</v>
      </c>
      <c r="G13" s="203"/>
      <c r="H13" s="204" t="s">
        <v>30</v>
      </c>
      <c r="I13" s="205" t="str">
        <f>IF(ISBLANK(H13),"",IF(H13&gt;0.00398148148148148,"",IF(H13&lt;=0.00290509259259259,"TSM",IF(H13&lt;=0.00300925925925926,"SM",IF(H13&lt;=0.0031712962962963,"KSM",IF(H13&lt;=0.00337962962962963,"I A",IF(H13&lt;=0.00363425925925926,"II A",IF(H13&lt;=0.00398148148148148,"III A"))))))))</f>
        <v/>
      </c>
      <c r="J13" s="52" t="s">
        <v>664</v>
      </c>
      <c r="K13" s="338" t="s">
        <v>108</v>
      </c>
      <c r="L13" s="339"/>
      <c r="M13" s="206"/>
    </row>
    <row r="14" spans="1:249" ht="16.350000000000001" customHeight="1">
      <c r="A14" s="202"/>
      <c r="B14" s="44">
        <v>340</v>
      </c>
      <c r="C14" s="160" t="s">
        <v>678</v>
      </c>
      <c r="D14" s="161" t="s">
        <v>679</v>
      </c>
      <c r="E14" s="185" t="s">
        <v>680</v>
      </c>
      <c r="F14" s="48" t="s">
        <v>205</v>
      </c>
      <c r="G14" s="203" t="s">
        <v>23</v>
      </c>
      <c r="H14" s="204" t="s">
        <v>30</v>
      </c>
      <c r="I14" s="205" t="str">
        <f>IF(ISBLANK(H14),"",IF(H14&gt;0.00398148148148148,"",IF(H14&lt;=0.00290509259259259,"TSM",IF(H14&lt;=0.00300925925925926,"SM",IF(H14&lt;=0.0031712962962963,"KSM",IF(H14&lt;=0.00337962962962963,"I A",IF(H14&lt;=0.00363425925925926,"II A",IF(H14&lt;=0.00398148148148148,"III A"))))))))</f>
        <v/>
      </c>
      <c r="J14" s="52" t="s">
        <v>256</v>
      </c>
      <c r="K14" s="338" t="s">
        <v>681</v>
      </c>
      <c r="L14" s="339"/>
      <c r="M14" s="206"/>
    </row>
    <row r="15" spans="1:249" ht="16.350000000000001" customHeight="1">
      <c r="A15" s="202"/>
      <c r="B15" s="44">
        <v>296</v>
      </c>
      <c r="C15" s="160" t="s">
        <v>91</v>
      </c>
      <c r="D15" s="161" t="s">
        <v>675</v>
      </c>
      <c r="E15" s="185" t="s">
        <v>676</v>
      </c>
      <c r="F15" s="48" t="s">
        <v>212</v>
      </c>
      <c r="G15" s="203"/>
      <c r="H15" s="204" t="s">
        <v>30</v>
      </c>
      <c r="I15" s="205" t="str">
        <f>IF(ISBLANK(H15),"",IF(H15&gt;0.00398148148148148,"",IF(H15&lt;=0.00290509259259259,"TSM",IF(H15&lt;=0.00300925925925926,"SM",IF(H15&lt;=0.0031712962962963,"KSM",IF(H15&lt;=0.00337962962962963,"I A",IF(H15&lt;=0.00363425925925926,"II A",IF(H15&lt;=0.00398148148148148,"III A"))))))))</f>
        <v/>
      </c>
      <c r="J15" s="52" t="s">
        <v>503</v>
      </c>
      <c r="K15" s="338" t="s">
        <v>677</v>
      </c>
      <c r="L15" s="339"/>
      <c r="M15" s="206"/>
    </row>
  </sheetData>
  <sortState ref="A13:IO15">
    <sortCondition ref="D13:D15"/>
  </sortState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N16"/>
  <sheetViews>
    <sheetView zoomScaleNormal="100" workbookViewId="0">
      <selection activeCell="A2" sqref="A2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1.7109375" style="56" bestFit="1" customWidth="1"/>
    <col min="7" max="7" width="6.42578125" style="22" customWidth="1"/>
    <col min="8" max="8" width="9" style="6" bestFit="1" customWidth="1"/>
    <col min="9" max="9" width="5.140625" style="24" customWidth="1"/>
    <col min="10" max="10" width="24.5703125" style="18" customWidth="1"/>
    <col min="11" max="11" width="9.140625" style="261" hidden="1" customWidth="1"/>
    <col min="12" max="12" width="9.140625" style="261"/>
    <col min="13" max="247" width="9.140625" style="18"/>
    <col min="248" max="16384" width="9.140625" style="7"/>
  </cols>
  <sheetData>
    <row r="1" spans="1:248" s="2" customFormat="1" ht="18.75">
      <c r="A1" s="1" t="s">
        <v>0</v>
      </c>
      <c r="E1" s="3"/>
      <c r="F1" s="4"/>
      <c r="G1" s="5"/>
      <c r="H1" s="6"/>
      <c r="I1" s="3"/>
      <c r="K1" s="272"/>
      <c r="L1" s="272"/>
      <c r="IN1" s="7"/>
    </row>
    <row r="2" spans="1:248" s="2" customFormat="1" ht="13.5" customHeight="1">
      <c r="E2" s="3"/>
      <c r="F2" s="4"/>
      <c r="G2" s="5"/>
      <c r="H2" s="6"/>
      <c r="I2" s="3"/>
      <c r="J2" s="8" t="s">
        <v>1</v>
      </c>
      <c r="K2" s="272"/>
      <c r="L2" s="272"/>
      <c r="IN2" s="7"/>
    </row>
    <row r="3" spans="1:248" s="9" customFormat="1" ht="4.5" customHeight="1">
      <c r="C3" s="10"/>
      <c r="E3" s="11">
        <v>1.1574074074074073E-5</v>
      </c>
      <c r="F3" s="12"/>
      <c r="G3" s="13"/>
      <c r="H3" s="14"/>
      <c r="I3" s="16"/>
      <c r="J3" s="17"/>
      <c r="K3" s="70"/>
      <c r="L3" s="70"/>
    </row>
    <row r="4" spans="1:248" ht="15.75">
      <c r="C4" s="19" t="s">
        <v>700</v>
      </c>
      <c r="E4" s="20"/>
      <c r="F4" s="21"/>
      <c r="J4" s="25" t="s">
        <v>3</v>
      </c>
    </row>
    <row r="5" spans="1:248" s="9" customFormat="1" ht="4.5" customHeight="1">
      <c r="C5" s="10"/>
      <c r="E5" s="26"/>
      <c r="F5" s="12"/>
      <c r="G5" s="13"/>
      <c r="H5" s="14"/>
      <c r="I5" s="16"/>
      <c r="J5" s="17"/>
      <c r="K5" s="70"/>
      <c r="L5" s="70"/>
    </row>
    <row r="6" spans="1:248" s="9" customFormat="1" ht="12.75" customHeight="1">
      <c r="C6" s="18"/>
      <c r="D6" s="27"/>
      <c r="E6" s="28"/>
      <c r="F6" s="29"/>
      <c r="G6" s="13"/>
      <c r="H6" s="14"/>
      <c r="I6" s="16"/>
      <c r="J6" s="17"/>
      <c r="K6" s="70"/>
      <c r="L6" s="70"/>
    </row>
    <row r="7" spans="1:248" s="9" customFormat="1" ht="6" customHeight="1">
      <c r="E7" s="30"/>
      <c r="F7" s="31"/>
      <c r="G7" s="13"/>
      <c r="H7" s="32"/>
      <c r="I7" s="16"/>
      <c r="J7" s="17"/>
      <c r="K7" s="70"/>
      <c r="L7" s="70"/>
    </row>
    <row r="8" spans="1:248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40" t="s">
        <v>10</v>
      </c>
      <c r="I8" s="42" t="s">
        <v>12</v>
      </c>
      <c r="J8" s="33" t="s">
        <v>13</v>
      </c>
      <c r="K8" s="261" t="s">
        <v>103</v>
      </c>
    </row>
    <row r="9" spans="1:248" ht="16.350000000000001" customHeight="1">
      <c r="A9" s="202">
        <v>1</v>
      </c>
      <c r="B9" s="44">
        <v>248</v>
      </c>
      <c r="C9" s="160" t="s">
        <v>573</v>
      </c>
      <c r="D9" s="161" t="s">
        <v>699</v>
      </c>
      <c r="E9" s="47" t="s">
        <v>309</v>
      </c>
      <c r="F9" s="48" t="s">
        <v>75</v>
      </c>
      <c r="G9" s="203">
        <f>IF(ISBLANK(H9),"",TRUNC(0.042*((H9/$E$3)-386)^2))</f>
        <v>694</v>
      </c>
      <c r="H9" s="204">
        <v>2.9797453703703704E-3</v>
      </c>
      <c r="I9" s="205" t="str">
        <f t="shared" ref="I9:I16" si="0">IF(ISBLANK(H9),"",IF(H9&gt;0.00355324074074074,"",IF(H9&lt;=0.00257523148148148,"TSM",IF(H9&lt;=0.00263888888888889,"SM",IF(H9&lt;=0.00275462962962963,"KSM",IF(H9&lt;=0.00291666666666667,"I A",IF(H9&lt;=0.00320601851851852,"II A",IF(H9&lt;=0.00355324074074074,"III A"))))))))</f>
        <v>II A</v>
      </c>
      <c r="J9" s="52" t="s">
        <v>244</v>
      </c>
      <c r="K9" s="206" t="s">
        <v>698</v>
      </c>
      <c r="L9" s="206"/>
      <c r="IM9" s="7"/>
    </row>
    <row r="10" spans="1:248" ht="16.350000000000001" customHeight="1">
      <c r="A10" s="202">
        <v>2</v>
      </c>
      <c r="B10" s="44">
        <v>263</v>
      </c>
      <c r="C10" s="160" t="s">
        <v>697</v>
      </c>
      <c r="D10" s="161" t="s">
        <v>696</v>
      </c>
      <c r="E10" s="47" t="s">
        <v>695</v>
      </c>
      <c r="F10" s="48" t="s">
        <v>243</v>
      </c>
      <c r="G10" s="203">
        <f>IF(ISBLANK(H10),"",TRUNC(0.042*((H10/$E$3)-386)^2))</f>
        <v>677</v>
      </c>
      <c r="H10" s="204">
        <v>2.9980324074074076E-3</v>
      </c>
      <c r="I10" s="205" t="str">
        <f t="shared" si="0"/>
        <v>II A</v>
      </c>
      <c r="J10" s="52" t="s">
        <v>694</v>
      </c>
      <c r="K10" s="206" t="s">
        <v>693</v>
      </c>
      <c r="L10" s="206"/>
      <c r="IM10" s="7"/>
    </row>
    <row r="11" spans="1:248" ht="16.350000000000001" customHeight="1">
      <c r="A11" s="202">
        <v>4</v>
      </c>
      <c r="B11" s="44">
        <v>348</v>
      </c>
      <c r="C11" s="160" t="s">
        <v>604</v>
      </c>
      <c r="D11" s="161" t="s">
        <v>605</v>
      </c>
      <c r="E11" s="47" t="s">
        <v>606</v>
      </c>
      <c r="F11" s="48" t="s">
        <v>54</v>
      </c>
      <c r="G11" s="203">
        <f>IF(ISBLANK(H11),"",TRUNC(0.042*((H11/$E$3)-386)^2))</f>
        <v>514</v>
      </c>
      <c r="H11" s="204">
        <v>3.1869212962962958E-3</v>
      </c>
      <c r="I11" s="205" t="str">
        <f t="shared" si="0"/>
        <v>II A</v>
      </c>
      <c r="J11" s="52" t="s">
        <v>344</v>
      </c>
      <c r="K11" s="206" t="s">
        <v>692</v>
      </c>
      <c r="L11" s="206"/>
      <c r="IM11" s="7"/>
    </row>
    <row r="12" spans="1:248" ht="16.350000000000001" customHeight="1">
      <c r="A12" s="202" t="s">
        <v>23</v>
      </c>
      <c r="B12" s="44">
        <v>338</v>
      </c>
      <c r="C12" s="160" t="s">
        <v>257</v>
      </c>
      <c r="D12" s="161" t="s">
        <v>258</v>
      </c>
      <c r="E12" s="47" t="s">
        <v>259</v>
      </c>
      <c r="F12" s="48" t="s">
        <v>205</v>
      </c>
      <c r="G12" s="203" t="s">
        <v>23</v>
      </c>
      <c r="H12" s="204">
        <v>3.0027777777777778E-3</v>
      </c>
      <c r="I12" s="205" t="str">
        <f t="shared" si="0"/>
        <v>II A</v>
      </c>
      <c r="J12" s="52" t="s">
        <v>256</v>
      </c>
      <c r="K12" s="206"/>
      <c r="L12" s="206"/>
    </row>
    <row r="13" spans="1:248" ht="16.350000000000001" customHeight="1">
      <c r="A13" s="202" t="s">
        <v>23</v>
      </c>
      <c r="B13" s="44">
        <v>243</v>
      </c>
      <c r="C13" s="160" t="s">
        <v>691</v>
      </c>
      <c r="D13" s="161" t="s">
        <v>689</v>
      </c>
      <c r="E13" s="47" t="s">
        <v>688</v>
      </c>
      <c r="F13" s="48" t="s">
        <v>22</v>
      </c>
      <c r="G13" s="203" t="s">
        <v>23</v>
      </c>
      <c r="H13" s="204">
        <v>3.2480324074074074E-3</v>
      </c>
      <c r="I13" s="205" t="str">
        <f t="shared" si="0"/>
        <v>III A</v>
      </c>
      <c r="J13" s="52" t="s">
        <v>687</v>
      </c>
      <c r="K13" s="206"/>
      <c r="L13" s="206"/>
    </row>
    <row r="14" spans="1:248" ht="16.350000000000001" customHeight="1">
      <c r="A14" s="202" t="s">
        <v>23</v>
      </c>
      <c r="B14" s="44">
        <v>244</v>
      </c>
      <c r="C14" s="160" t="s">
        <v>690</v>
      </c>
      <c r="D14" s="161" t="s">
        <v>689</v>
      </c>
      <c r="E14" s="47" t="s">
        <v>688</v>
      </c>
      <c r="F14" s="48" t="s">
        <v>22</v>
      </c>
      <c r="G14" s="203" t="s">
        <v>23</v>
      </c>
      <c r="H14" s="204">
        <v>3.7619212962962962E-3</v>
      </c>
      <c r="I14" s="205" t="str">
        <f t="shared" si="0"/>
        <v/>
      </c>
      <c r="J14" s="52" t="s">
        <v>687</v>
      </c>
      <c r="K14" s="206"/>
      <c r="L14" s="206"/>
    </row>
    <row r="15" spans="1:248" ht="16.350000000000001" customHeight="1">
      <c r="A15" s="202"/>
      <c r="B15" s="44">
        <v>306</v>
      </c>
      <c r="C15" s="160" t="s">
        <v>565</v>
      </c>
      <c r="D15" s="161" t="s">
        <v>566</v>
      </c>
      <c r="E15" s="47" t="s">
        <v>567</v>
      </c>
      <c r="F15" s="48" t="s">
        <v>243</v>
      </c>
      <c r="G15" s="203"/>
      <c r="H15" s="204" t="s">
        <v>30</v>
      </c>
      <c r="I15" s="205" t="str">
        <f t="shared" si="0"/>
        <v/>
      </c>
      <c r="J15" s="52" t="s">
        <v>568</v>
      </c>
      <c r="K15" s="206" t="s">
        <v>108</v>
      </c>
      <c r="L15" s="206"/>
      <c r="IM15" s="7"/>
    </row>
    <row r="16" spans="1:248" ht="16.350000000000001" customHeight="1">
      <c r="A16" s="202"/>
      <c r="B16" s="44">
        <v>337</v>
      </c>
      <c r="C16" s="160" t="s">
        <v>268</v>
      </c>
      <c r="D16" s="161" t="s">
        <v>686</v>
      </c>
      <c r="E16" s="47" t="s">
        <v>685</v>
      </c>
      <c r="F16" s="48" t="s">
        <v>684</v>
      </c>
      <c r="G16" s="203" t="s">
        <v>23</v>
      </c>
      <c r="H16" s="204" t="s">
        <v>30</v>
      </c>
      <c r="I16" s="205" t="str">
        <f t="shared" si="0"/>
        <v/>
      </c>
      <c r="J16" s="52" t="s">
        <v>683</v>
      </c>
      <c r="K16" s="206" t="s">
        <v>682</v>
      </c>
      <c r="L16" s="206"/>
      <c r="IM16" s="7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N13"/>
  <sheetViews>
    <sheetView workbookViewId="0">
      <selection activeCell="A4" sqref="A4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1.28515625" style="56" bestFit="1" customWidth="1"/>
    <col min="7" max="7" width="6.42578125" style="22" customWidth="1"/>
    <col min="8" max="8" width="9" style="6" bestFit="1" customWidth="1"/>
    <col min="9" max="9" width="5.140625" style="24" customWidth="1"/>
    <col min="10" max="10" width="24.5703125" style="18" customWidth="1"/>
    <col min="11" max="12" width="6" style="70" customWidth="1"/>
    <col min="13" max="247" width="9.140625" style="18"/>
    <col min="248" max="16384" width="9.140625" style="7"/>
  </cols>
  <sheetData>
    <row r="1" spans="1:248" s="2" customFormat="1" ht="18.75">
      <c r="A1" s="1" t="s">
        <v>0</v>
      </c>
      <c r="E1" s="3"/>
      <c r="F1" s="4"/>
      <c r="G1" s="5"/>
      <c r="H1" s="6"/>
      <c r="I1" s="3"/>
      <c r="K1" s="70"/>
      <c r="L1" s="70"/>
      <c r="IN1" s="7"/>
    </row>
    <row r="2" spans="1:248" s="2" customFormat="1" ht="13.5" customHeight="1">
      <c r="E2" s="3"/>
      <c r="F2" s="4"/>
      <c r="G2" s="5"/>
      <c r="H2" s="6"/>
      <c r="I2" s="3"/>
      <c r="J2" s="8" t="s">
        <v>1</v>
      </c>
      <c r="K2" s="70"/>
      <c r="L2" s="70"/>
      <c r="IN2" s="7"/>
    </row>
    <row r="3" spans="1:248" s="9" customFormat="1" ht="4.5" customHeight="1">
      <c r="C3" s="10"/>
      <c r="E3" s="11">
        <v>1.1574074074074073E-5</v>
      </c>
      <c r="F3" s="12"/>
      <c r="G3" s="13"/>
      <c r="H3" s="14"/>
      <c r="I3" s="16"/>
      <c r="J3" s="17"/>
      <c r="K3" s="70"/>
      <c r="L3" s="70"/>
    </row>
    <row r="4" spans="1:248" ht="15.75">
      <c r="C4" s="19" t="s">
        <v>239</v>
      </c>
      <c r="E4" s="20"/>
      <c r="F4" s="21"/>
      <c r="J4" s="25" t="s">
        <v>3</v>
      </c>
    </row>
    <row r="5" spans="1:248" s="9" customFormat="1" ht="4.5" customHeight="1">
      <c r="C5" s="10"/>
      <c r="E5" s="26"/>
      <c r="F5" s="12"/>
      <c r="G5" s="13"/>
      <c r="H5" s="14"/>
      <c r="I5" s="16"/>
      <c r="J5" s="17"/>
      <c r="K5" s="70"/>
      <c r="L5" s="70"/>
    </row>
    <row r="6" spans="1:248" s="9" customFormat="1" ht="12.75" customHeight="1">
      <c r="C6" s="18"/>
      <c r="D6" s="27"/>
      <c r="E6" s="28"/>
      <c r="F6" s="29"/>
      <c r="G6" s="13"/>
      <c r="H6" s="14"/>
      <c r="I6" s="16"/>
      <c r="J6" s="17"/>
      <c r="K6" s="70"/>
      <c r="L6" s="70"/>
    </row>
    <row r="7" spans="1:248" s="9" customFormat="1" ht="6" customHeight="1">
      <c r="E7" s="30"/>
      <c r="F7" s="31"/>
      <c r="G7" s="13"/>
      <c r="H7" s="32"/>
      <c r="I7" s="16"/>
      <c r="J7" s="17"/>
      <c r="K7" s="70"/>
      <c r="L7" s="70"/>
    </row>
    <row r="8" spans="1:248" ht="11.25" customHeight="1">
      <c r="A8" s="33" t="s">
        <v>29</v>
      </c>
      <c r="B8" s="33" t="s">
        <v>4</v>
      </c>
      <c r="C8" s="200" t="s">
        <v>5</v>
      </c>
      <c r="D8" s="201" t="s">
        <v>6</v>
      </c>
      <c r="E8" s="154" t="s">
        <v>7</v>
      </c>
      <c r="F8" s="38" t="s">
        <v>8</v>
      </c>
      <c r="G8" s="39" t="s">
        <v>9</v>
      </c>
      <c r="H8" s="40" t="s">
        <v>10</v>
      </c>
      <c r="I8" s="42" t="s">
        <v>12</v>
      </c>
      <c r="J8" s="33" t="s">
        <v>13</v>
      </c>
    </row>
    <row r="9" spans="1:248" ht="16.350000000000001" customHeight="1">
      <c r="A9" s="202">
        <v>1</v>
      </c>
      <c r="B9" s="44">
        <v>315</v>
      </c>
      <c r="C9" s="160" t="s">
        <v>240</v>
      </c>
      <c r="D9" s="161" t="s">
        <v>241</v>
      </c>
      <c r="E9" s="47" t="s">
        <v>242</v>
      </c>
      <c r="F9" s="48" t="s">
        <v>243</v>
      </c>
      <c r="G9" s="203">
        <f>IF(ISBLANK(H9),"",TRUNC(0.008322*((H9/$E$3)-840)^2))</f>
        <v>682</v>
      </c>
      <c r="H9" s="204">
        <v>6.4086805555555564E-3</v>
      </c>
      <c r="I9" s="205" t="str">
        <f>IF(ISBLANK(H9),"",IF(H9&gt;0.00778935185185185,"",IF(H9&lt;=0.00548611111111111,"TSM",IF(H9&lt;=0.00570601851851852,"SM",IF(H9&lt;=0.00596064814814815,"KSM",IF(H9&lt;=0.00640046296296296,"I A",IF(H9&lt;=0.00703703703703704,"II A",IF(H9&lt;=0.00778935185185185,"III A"))))))))</f>
        <v>II A</v>
      </c>
      <c r="J9" s="52" t="s">
        <v>244</v>
      </c>
      <c r="K9" s="206"/>
      <c r="L9" s="206"/>
    </row>
    <row r="10" spans="1:248" ht="16.350000000000001" customHeight="1">
      <c r="A10" s="202">
        <v>2</v>
      </c>
      <c r="B10" s="44">
        <v>278</v>
      </c>
      <c r="C10" s="160" t="s">
        <v>245</v>
      </c>
      <c r="D10" s="161" t="s">
        <v>246</v>
      </c>
      <c r="E10" s="47" t="s">
        <v>247</v>
      </c>
      <c r="F10" s="48" t="s">
        <v>49</v>
      </c>
      <c r="G10" s="203">
        <f>IF(ISBLANK(H10),"",TRUNC(0.008322*((H10/$E$3)-840)^2))</f>
        <v>519</v>
      </c>
      <c r="H10" s="204">
        <v>6.829282407407408E-3</v>
      </c>
      <c r="I10" s="205" t="str">
        <f>IF(ISBLANK(H10),"",IF(H10&gt;0.00778935185185185,"",IF(H10&lt;=0.00548611111111111,"TSM",IF(H10&lt;=0.00570601851851852,"SM",IF(H10&lt;=0.00596064814814815,"KSM",IF(H10&lt;=0.00640046296296296,"I A",IF(H10&lt;=0.00703703703703704,"II A",IF(H10&lt;=0.00778935185185185,"III A"))))))))</f>
        <v>II A</v>
      </c>
      <c r="J10" s="52" t="s">
        <v>248</v>
      </c>
      <c r="K10" s="206"/>
      <c r="L10" s="206"/>
    </row>
    <row r="11" spans="1:248" ht="16.350000000000001" customHeight="1">
      <c r="A11" s="202">
        <v>3</v>
      </c>
      <c r="B11" s="44">
        <v>249</v>
      </c>
      <c r="C11" s="160" t="s">
        <v>249</v>
      </c>
      <c r="D11" s="161" t="s">
        <v>250</v>
      </c>
      <c r="E11" s="47" t="s">
        <v>251</v>
      </c>
      <c r="F11" s="48" t="s">
        <v>75</v>
      </c>
      <c r="G11" s="203">
        <f>IF(ISBLANK(H11),"",TRUNC(0.008322*((H11/$E$3)-840)^2))</f>
        <v>265</v>
      </c>
      <c r="H11" s="204">
        <v>7.6533564814814823E-3</v>
      </c>
      <c r="I11" s="205" t="str">
        <f>IF(ISBLANK(H11),"",IF(H11&gt;0.00778935185185185,"",IF(H11&lt;=0.00548611111111111,"TSM",IF(H11&lt;=0.00570601851851852,"SM",IF(H11&lt;=0.00596064814814815,"KSM",IF(H11&lt;=0.00640046296296296,"I A",IF(H11&lt;=0.00703703703703704,"II A",IF(H11&lt;=0.00778935185185185,"III A"))))))))</f>
        <v>III A</v>
      </c>
      <c r="J11" s="52" t="s">
        <v>74</v>
      </c>
      <c r="K11" s="206"/>
      <c r="L11" s="206"/>
    </row>
    <row r="12" spans="1:248" ht="16.350000000000001" customHeight="1">
      <c r="A12" s="202" t="s">
        <v>23</v>
      </c>
      <c r="B12" s="44">
        <v>339</v>
      </c>
      <c r="C12" s="160" t="s">
        <v>252</v>
      </c>
      <c r="D12" s="161" t="s">
        <v>253</v>
      </c>
      <c r="E12" s="47" t="s">
        <v>254</v>
      </c>
      <c r="F12" s="48" t="s">
        <v>255</v>
      </c>
      <c r="G12" s="203" t="s">
        <v>23</v>
      </c>
      <c r="H12" s="204">
        <v>6.5638888888888891E-3</v>
      </c>
      <c r="I12" s="205" t="str">
        <f>IF(ISBLANK(H12),"",IF(H12&gt;0.00778935185185185,"",IF(H12&lt;=0.00548611111111111,"TSM",IF(H12&lt;=0.00570601851851852,"SM",IF(H12&lt;=0.00596064814814815,"KSM",IF(H12&lt;=0.00640046296296296,"I A",IF(H12&lt;=0.00703703703703704,"II A",IF(H12&lt;=0.00778935185185185,"III A"))))))))</f>
        <v>II A</v>
      </c>
      <c r="J12" s="52" t="s">
        <v>256</v>
      </c>
      <c r="K12" s="206"/>
      <c r="L12" s="206"/>
    </row>
    <row r="13" spans="1:248" ht="16.350000000000001" customHeight="1">
      <c r="A13" s="202"/>
      <c r="B13" s="44">
        <v>338</v>
      </c>
      <c r="C13" s="160" t="s">
        <v>257</v>
      </c>
      <c r="D13" s="161" t="s">
        <v>258</v>
      </c>
      <c r="E13" s="47" t="s">
        <v>259</v>
      </c>
      <c r="F13" s="48" t="s">
        <v>205</v>
      </c>
      <c r="G13" s="203" t="s">
        <v>23</v>
      </c>
      <c r="H13" s="204" t="s">
        <v>30</v>
      </c>
      <c r="I13" s="205" t="str">
        <f>IF(ISBLANK(H13),"",IF(H13&gt;0.00778935185185185,"",IF(H13&lt;=0.00548611111111111,"TSM",IF(H13&lt;=0.00570601851851852,"SM",IF(H13&lt;=0.00596064814814815,"KSM",IF(H13&lt;=0.00640046296296296,"I A",IF(H13&lt;=0.00703703703703704,"II A",IF(H13&lt;=0.00778935185185185,"III A"))))))))</f>
        <v/>
      </c>
      <c r="J13" s="52" t="s">
        <v>256</v>
      </c>
      <c r="K13" s="206"/>
      <c r="L13" s="206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3"/>
  <sheetViews>
    <sheetView zoomScale="110" zoomScaleNormal="110" workbookViewId="0">
      <selection activeCell="A4" sqref="A4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168" customWidth="1"/>
    <col min="6" max="6" width="10.85546875" style="56" customWidth="1"/>
    <col min="7" max="7" width="7.5703125" style="22" customWidth="1"/>
    <col min="8" max="8" width="7" style="71" customWidth="1"/>
    <col min="9" max="9" width="4.7109375" style="143" customWidth="1"/>
    <col min="10" max="10" width="7" style="71" hidden="1" customWidth="1"/>
    <col min="11" max="11" width="4.7109375" style="143" hidden="1" customWidth="1"/>
    <col min="12" max="12" width="5.140625" style="24" customWidth="1"/>
    <col min="13" max="13" width="24.5703125" style="18" customWidth="1"/>
    <col min="14" max="14" width="4.7109375" style="149" hidden="1" customWidth="1"/>
    <col min="15" max="15" width="3.5703125" style="149" hidden="1" customWidth="1"/>
    <col min="16" max="16" width="5.28515625" style="145" hidden="1" customWidth="1"/>
    <col min="17" max="244" width="9.140625" style="18"/>
    <col min="245" max="16384" width="9.140625" style="7"/>
  </cols>
  <sheetData>
    <row r="1" spans="1:245" s="2" customFormat="1" ht="18.75">
      <c r="A1" s="1" t="s">
        <v>0</v>
      </c>
      <c r="E1" s="142"/>
      <c r="F1" s="4"/>
      <c r="G1" s="5"/>
      <c r="H1" s="71"/>
      <c r="I1" s="143"/>
      <c r="J1" s="71"/>
      <c r="K1" s="143"/>
      <c r="L1" s="3"/>
      <c r="N1" s="144"/>
      <c r="O1" s="144"/>
      <c r="P1" s="145"/>
      <c r="IK1" s="7"/>
    </row>
    <row r="2" spans="1:245" s="2" customFormat="1" ht="13.5" customHeight="1">
      <c r="E2" s="142"/>
      <c r="F2" s="4"/>
      <c r="G2" s="5"/>
      <c r="H2" s="71"/>
      <c r="I2" s="143"/>
      <c r="J2" s="71"/>
      <c r="K2" s="143"/>
      <c r="L2" s="3"/>
      <c r="M2" s="8" t="s">
        <v>1</v>
      </c>
      <c r="N2" s="144"/>
      <c r="O2" s="144"/>
      <c r="P2" s="145"/>
      <c r="IK2" s="7"/>
    </row>
    <row r="3" spans="1:245" s="9" customFormat="1" ht="4.5" customHeight="1">
      <c r="C3" s="10"/>
      <c r="E3" s="146"/>
      <c r="F3" s="12"/>
      <c r="G3" s="13"/>
      <c r="H3" s="147"/>
      <c r="I3" s="148"/>
      <c r="J3" s="15"/>
      <c r="K3" s="148"/>
      <c r="L3" s="16"/>
      <c r="M3" s="17"/>
      <c r="N3" s="149"/>
      <c r="O3" s="149"/>
      <c r="P3" s="145"/>
    </row>
    <row r="4" spans="1:245" ht="15.75">
      <c r="C4" s="19" t="s">
        <v>97</v>
      </c>
      <c r="E4" s="150"/>
      <c r="F4" s="21"/>
      <c r="M4" s="25" t="s">
        <v>3</v>
      </c>
    </row>
    <row r="5" spans="1:245" s="9" customFormat="1" ht="4.5" customHeight="1">
      <c r="C5" s="10"/>
      <c r="E5" s="146"/>
      <c r="F5" s="12"/>
      <c r="G5" s="13"/>
      <c r="H5" s="147"/>
      <c r="I5" s="148"/>
      <c r="J5" s="15"/>
      <c r="K5" s="148"/>
      <c r="L5" s="16"/>
      <c r="M5" s="17"/>
      <c r="N5" s="149"/>
      <c r="O5" s="149"/>
      <c r="P5" s="145"/>
    </row>
    <row r="6" spans="1:245" s="9" customFormat="1" ht="12.75" customHeight="1">
      <c r="C6" s="18"/>
      <c r="D6" s="27">
        <v>1</v>
      </c>
      <c r="E6" s="151" t="s">
        <v>98</v>
      </c>
      <c r="F6" s="29"/>
      <c r="G6" s="13"/>
      <c r="H6" s="147"/>
      <c r="I6" s="148"/>
      <c r="J6" s="15"/>
      <c r="K6" s="148"/>
      <c r="L6" s="16"/>
      <c r="M6" s="17"/>
      <c r="N6" s="149"/>
      <c r="O6" s="149"/>
      <c r="P6" s="145"/>
    </row>
    <row r="7" spans="1:245" s="9" customFormat="1" ht="6" customHeight="1">
      <c r="E7" s="152"/>
      <c r="F7" s="31"/>
      <c r="G7" s="13"/>
      <c r="H7" s="153"/>
      <c r="I7" s="148"/>
      <c r="J7" s="15"/>
      <c r="K7" s="148"/>
      <c r="L7" s="16"/>
      <c r="M7" s="17"/>
      <c r="N7" s="149"/>
      <c r="O7" s="149"/>
      <c r="P7" s="145"/>
    </row>
    <row r="8" spans="1:245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100</v>
      </c>
      <c r="I8" s="156" t="s">
        <v>101</v>
      </c>
      <c r="J8" s="155" t="s">
        <v>102</v>
      </c>
      <c r="K8" s="156" t="s">
        <v>101</v>
      </c>
      <c r="L8" s="42" t="s">
        <v>12</v>
      </c>
      <c r="M8" s="33" t="s">
        <v>13</v>
      </c>
      <c r="N8" s="149" t="s">
        <v>103</v>
      </c>
      <c r="O8" s="149" t="s">
        <v>104</v>
      </c>
      <c r="P8" s="157" t="s">
        <v>99</v>
      </c>
    </row>
    <row r="9" spans="1:245" s="54" customFormat="1" ht="16.350000000000001" customHeight="1">
      <c r="A9" s="158">
        <v>1</v>
      </c>
      <c r="B9" s="159">
        <v>354</v>
      </c>
      <c r="C9" s="160" t="s">
        <v>129</v>
      </c>
      <c r="D9" s="161" t="s">
        <v>130</v>
      </c>
      <c r="E9" s="47" t="s">
        <v>131</v>
      </c>
      <c r="F9" s="48" t="s">
        <v>54</v>
      </c>
      <c r="G9" s="91">
        <f>IF(ISBLANK(H9),"",TRUNC(24.9*(H9-14)^2))</f>
        <v>715</v>
      </c>
      <c r="H9" s="162">
        <v>8.64</v>
      </c>
      <c r="I9" s="163">
        <v>0.184</v>
      </c>
      <c r="J9" s="164"/>
      <c r="K9" s="163"/>
      <c r="L9" s="165" t="str">
        <f t="shared" ref="L9:L14" si="0">IF(ISBLANK(H9),"",IF(H9&gt;9.04,"",IF(H9&lt;=7.25,"TSM",IF(H9&lt;=7.45,"SM",IF(H9&lt;=7.7,"KSM",IF(H9&lt;=8,"I A",IF(H9&lt;=8.44,"II A",IF(H9&lt;=9.04,"III A"))))))))</f>
        <v>III A</v>
      </c>
      <c r="M9" s="52" t="s">
        <v>132</v>
      </c>
      <c r="N9" s="157" t="s">
        <v>108</v>
      </c>
      <c r="O9" s="166">
        <v>1</v>
      </c>
      <c r="P9" s="167">
        <v>6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</row>
    <row r="10" spans="1:245" s="54" customFormat="1" ht="16.350000000000001" customHeight="1">
      <c r="A10" s="158">
        <v>2</v>
      </c>
      <c r="B10" s="159">
        <v>376</v>
      </c>
      <c r="C10" s="160" t="s">
        <v>124</v>
      </c>
      <c r="D10" s="161" t="s">
        <v>125</v>
      </c>
      <c r="E10" s="47" t="s">
        <v>126</v>
      </c>
      <c r="F10" s="48" t="s">
        <v>17</v>
      </c>
      <c r="G10" s="91">
        <f>IF(ISBLANK(H10),"",TRUNC(24.9*(H10-14)^2))</f>
        <v>843</v>
      </c>
      <c r="H10" s="162">
        <v>8.18</v>
      </c>
      <c r="I10" s="163">
        <v>0.32200000000000001</v>
      </c>
      <c r="J10" s="164"/>
      <c r="K10" s="163"/>
      <c r="L10" s="165" t="str">
        <f t="shared" si="0"/>
        <v>II A</v>
      </c>
      <c r="M10" s="52" t="s">
        <v>127</v>
      </c>
      <c r="N10" s="157" t="s">
        <v>128</v>
      </c>
      <c r="O10" s="166">
        <v>1</v>
      </c>
      <c r="P10" s="167">
        <v>5</v>
      </c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</row>
    <row r="11" spans="1:245" s="54" customFormat="1" ht="16.350000000000001" customHeight="1">
      <c r="A11" s="158">
        <v>3</v>
      </c>
      <c r="B11" s="159">
        <v>355</v>
      </c>
      <c r="C11" s="160" t="s">
        <v>114</v>
      </c>
      <c r="D11" s="161" t="s">
        <v>115</v>
      </c>
      <c r="E11" s="47" t="s">
        <v>116</v>
      </c>
      <c r="F11" s="48" t="s">
        <v>54</v>
      </c>
      <c r="G11" s="91">
        <f>IF(ISBLANK(H11),"",TRUNC(24.9*(H11-14)^2))</f>
        <v>932</v>
      </c>
      <c r="H11" s="162">
        <v>7.88</v>
      </c>
      <c r="I11" s="163">
        <v>0.17</v>
      </c>
      <c r="J11" s="164"/>
      <c r="K11" s="163"/>
      <c r="L11" s="165" t="str">
        <f t="shared" si="0"/>
        <v>I A</v>
      </c>
      <c r="M11" s="52" t="s">
        <v>117</v>
      </c>
      <c r="N11" s="157" t="s">
        <v>118</v>
      </c>
      <c r="O11" s="166">
        <v>1</v>
      </c>
      <c r="P11" s="167">
        <v>3</v>
      </c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</row>
    <row r="12" spans="1:245" s="54" customFormat="1" ht="16.350000000000001" customHeight="1">
      <c r="A12" s="158" t="s">
        <v>23</v>
      </c>
      <c r="B12" s="159">
        <v>268</v>
      </c>
      <c r="C12" s="160" t="s">
        <v>73</v>
      </c>
      <c r="D12" s="161" t="s">
        <v>119</v>
      </c>
      <c r="E12" s="47" t="s">
        <v>120</v>
      </c>
      <c r="F12" s="48" t="s">
        <v>121</v>
      </c>
      <c r="G12" s="163" t="s">
        <v>23</v>
      </c>
      <c r="H12" s="162">
        <v>7.98</v>
      </c>
      <c r="I12" s="163">
        <v>0.14099999999999999</v>
      </c>
      <c r="J12" s="164"/>
      <c r="K12" s="163"/>
      <c r="L12" s="165" t="str">
        <f t="shared" si="0"/>
        <v>I A</v>
      </c>
      <c r="M12" s="52" t="s">
        <v>122</v>
      </c>
      <c r="N12" s="157" t="s">
        <v>123</v>
      </c>
      <c r="O12" s="166">
        <v>1</v>
      </c>
      <c r="P12" s="167">
        <v>4</v>
      </c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</row>
    <row r="13" spans="1:245" s="54" customFormat="1" ht="16.350000000000001" customHeight="1">
      <c r="A13" s="158" t="s">
        <v>23</v>
      </c>
      <c r="B13" s="159">
        <v>267</v>
      </c>
      <c r="C13" s="160" t="s">
        <v>109</v>
      </c>
      <c r="D13" s="161" t="s">
        <v>110</v>
      </c>
      <c r="E13" s="47" t="s">
        <v>111</v>
      </c>
      <c r="F13" s="48" t="s">
        <v>112</v>
      </c>
      <c r="G13" s="163" t="s">
        <v>23</v>
      </c>
      <c r="H13" s="162">
        <v>8.1999999999999993</v>
      </c>
      <c r="I13" s="163">
        <v>0.219</v>
      </c>
      <c r="J13" s="164"/>
      <c r="K13" s="163"/>
      <c r="L13" s="165" t="str">
        <f t="shared" si="0"/>
        <v>II A</v>
      </c>
      <c r="M13" s="52" t="s">
        <v>65</v>
      </c>
      <c r="N13" s="157" t="s">
        <v>113</v>
      </c>
      <c r="O13" s="166">
        <v>1</v>
      </c>
      <c r="P13" s="167">
        <v>2</v>
      </c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</row>
    <row r="14" spans="1:245" s="54" customFormat="1" ht="16.350000000000001" customHeight="1">
      <c r="A14" s="158"/>
      <c r="B14" s="159">
        <v>236</v>
      </c>
      <c r="C14" s="160" t="s">
        <v>105</v>
      </c>
      <c r="D14" s="161" t="s">
        <v>72</v>
      </c>
      <c r="E14" s="47" t="s">
        <v>106</v>
      </c>
      <c r="F14" s="48" t="s">
        <v>44</v>
      </c>
      <c r="G14" s="91"/>
      <c r="H14" s="162" t="s">
        <v>30</v>
      </c>
      <c r="I14" s="163"/>
      <c r="J14" s="164"/>
      <c r="K14" s="163"/>
      <c r="L14" s="165" t="str">
        <f t="shared" si="0"/>
        <v/>
      </c>
      <c r="M14" s="52" t="s">
        <v>107</v>
      </c>
      <c r="N14" s="157" t="s">
        <v>108</v>
      </c>
      <c r="O14" s="166">
        <v>1</v>
      </c>
      <c r="P14" s="167">
        <v>1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</row>
    <row r="15" spans="1:245" s="9" customFormat="1" ht="4.5" customHeight="1">
      <c r="C15" s="10"/>
      <c r="E15" s="146"/>
      <c r="F15" s="12"/>
      <c r="G15" s="13"/>
      <c r="H15" s="147"/>
      <c r="I15" s="148"/>
      <c r="J15" s="15"/>
      <c r="K15" s="148"/>
      <c r="L15" s="16"/>
      <c r="M15" s="17"/>
      <c r="N15" s="149"/>
      <c r="O15" s="149"/>
      <c r="P15" s="145"/>
    </row>
    <row r="16" spans="1:245" s="9" customFormat="1" ht="12.75" customHeight="1">
      <c r="C16" s="18"/>
      <c r="D16" s="27">
        <v>2</v>
      </c>
      <c r="E16" s="151" t="s">
        <v>98</v>
      </c>
      <c r="F16" s="29"/>
      <c r="G16" s="13"/>
      <c r="H16" s="147"/>
      <c r="I16" s="148"/>
      <c r="J16" s="15"/>
      <c r="K16" s="148"/>
      <c r="L16" s="16"/>
      <c r="M16" s="17"/>
      <c r="N16" s="149"/>
      <c r="O16" s="149"/>
      <c r="P16" s="145"/>
    </row>
    <row r="17" spans="1:243" s="9" customFormat="1" ht="6" customHeight="1">
      <c r="E17" s="152"/>
      <c r="F17" s="31"/>
      <c r="G17" s="13"/>
      <c r="H17" s="153"/>
      <c r="I17" s="148"/>
      <c r="J17" s="15"/>
      <c r="K17" s="148"/>
      <c r="L17" s="16"/>
      <c r="M17" s="17"/>
      <c r="N17" s="149"/>
      <c r="O17" s="149"/>
      <c r="P17" s="145"/>
    </row>
    <row r="18" spans="1:243" ht="11.25" customHeight="1">
      <c r="A18" s="33" t="s">
        <v>29</v>
      </c>
      <c r="B18" s="33" t="s">
        <v>4</v>
      </c>
      <c r="C18" s="35" t="s">
        <v>5</v>
      </c>
      <c r="D18" s="36" t="s">
        <v>6</v>
      </c>
      <c r="E18" s="154" t="s">
        <v>7</v>
      </c>
      <c r="F18" s="38" t="s">
        <v>8</v>
      </c>
      <c r="G18" s="39" t="s">
        <v>9</v>
      </c>
      <c r="H18" s="155" t="s">
        <v>100</v>
      </c>
      <c r="I18" s="156" t="s">
        <v>101</v>
      </c>
      <c r="J18" s="155" t="s">
        <v>102</v>
      </c>
      <c r="K18" s="156" t="s">
        <v>101</v>
      </c>
      <c r="L18" s="42" t="s">
        <v>12</v>
      </c>
      <c r="M18" s="33" t="s">
        <v>13</v>
      </c>
      <c r="N18" s="149" t="s">
        <v>103</v>
      </c>
      <c r="O18" s="149" t="s">
        <v>104</v>
      </c>
      <c r="P18" s="157" t="s">
        <v>99</v>
      </c>
    </row>
    <row r="19" spans="1:243" s="54" customFormat="1" ht="16.350000000000001" customHeight="1">
      <c r="A19" s="158">
        <v>1</v>
      </c>
      <c r="B19" s="159">
        <v>360</v>
      </c>
      <c r="C19" s="160" t="s">
        <v>133</v>
      </c>
      <c r="D19" s="161" t="s">
        <v>134</v>
      </c>
      <c r="E19" s="47" t="s">
        <v>135</v>
      </c>
      <c r="F19" s="48" t="s">
        <v>54</v>
      </c>
      <c r="G19" s="91">
        <f>IF(ISBLANK(H19),"",TRUNC(24.9*(H19-14)^2))</f>
        <v>580</v>
      </c>
      <c r="H19" s="162">
        <v>9.17</v>
      </c>
      <c r="I19" s="163">
        <v>0.26400000000000001</v>
      </c>
      <c r="J19" s="164"/>
      <c r="K19" s="163"/>
      <c r="L19" s="165" t="str">
        <f t="shared" ref="L19:L24" si="1">IF(ISBLANK(H19),"",IF(H19&gt;9.04,"",IF(H19&lt;=7.25,"TSM",IF(H19&lt;=7.45,"SM",IF(H19&lt;=7.7,"KSM",IF(H19&lt;=8,"I A",IF(H19&lt;=8.44,"II A",IF(H19&lt;=9.04,"III A"))))))))</f>
        <v/>
      </c>
      <c r="M19" s="52" t="s">
        <v>79</v>
      </c>
      <c r="N19" s="157" t="s">
        <v>108</v>
      </c>
      <c r="O19" s="166">
        <v>2</v>
      </c>
      <c r="P19" s="167">
        <v>1</v>
      </c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</row>
    <row r="20" spans="1:243" s="54" customFormat="1" ht="16.350000000000001" customHeight="1">
      <c r="A20" s="158">
        <v>2</v>
      </c>
      <c r="B20" s="159">
        <v>350</v>
      </c>
      <c r="C20" s="160" t="s">
        <v>152</v>
      </c>
      <c r="D20" s="161" t="s">
        <v>153</v>
      </c>
      <c r="E20" s="47" t="s">
        <v>154</v>
      </c>
      <c r="F20" s="48" t="s">
        <v>54</v>
      </c>
      <c r="G20" s="91">
        <f>IF(ISBLANK(H20),"",TRUNC(24.9*(H20-14)^2))</f>
        <v>691</v>
      </c>
      <c r="H20" s="162">
        <v>8.73</v>
      </c>
      <c r="I20" s="163">
        <v>0.26900000000000002</v>
      </c>
      <c r="J20" s="164"/>
      <c r="K20" s="163"/>
      <c r="L20" s="165" t="str">
        <f t="shared" si="1"/>
        <v>III A</v>
      </c>
      <c r="M20" s="52" t="s">
        <v>155</v>
      </c>
      <c r="N20" s="157" t="s">
        <v>156</v>
      </c>
      <c r="O20" s="166">
        <v>2</v>
      </c>
      <c r="P20" s="167">
        <v>6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</row>
    <row r="21" spans="1:243" s="54" customFormat="1" ht="16.350000000000001" customHeight="1">
      <c r="A21" s="158">
        <v>3</v>
      </c>
      <c r="B21" s="159">
        <v>396</v>
      </c>
      <c r="C21" s="160" t="s">
        <v>147</v>
      </c>
      <c r="D21" s="161" t="s">
        <v>148</v>
      </c>
      <c r="E21" s="47" t="s">
        <v>149</v>
      </c>
      <c r="F21" s="48" t="s">
        <v>17</v>
      </c>
      <c r="G21" s="91">
        <f>IF(ISBLANK(H21),"",TRUNC(24.9*(H21-14)^2))</f>
        <v>991</v>
      </c>
      <c r="H21" s="162">
        <v>7.69</v>
      </c>
      <c r="I21" s="163">
        <v>0.182</v>
      </c>
      <c r="J21" s="164"/>
      <c r="K21" s="163"/>
      <c r="L21" s="165" t="str">
        <f t="shared" si="1"/>
        <v>KSM</v>
      </c>
      <c r="M21" s="52" t="s">
        <v>40</v>
      </c>
      <c r="N21" s="157" t="s">
        <v>150</v>
      </c>
      <c r="O21" s="166">
        <v>2</v>
      </c>
      <c r="P21" s="167">
        <v>4</v>
      </c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</row>
    <row r="22" spans="1:243" s="54" customFormat="1" ht="16.350000000000001" customHeight="1">
      <c r="A22" s="158" t="s">
        <v>23</v>
      </c>
      <c r="B22" s="159">
        <v>269</v>
      </c>
      <c r="C22" s="160" t="s">
        <v>141</v>
      </c>
      <c r="D22" s="161" t="s">
        <v>142</v>
      </c>
      <c r="E22" s="47" t="s">
        <v>143</v>
      </c>
      <c r="F22" s="48" t="s">
        <v>144</v>
      </c>
      <c r="G22" s="163" t="s">
        <v>23</v>
      </c>
      <c r="H22" s="162">
        <v>7.9</v>
      </c>
      <c r="I22" s="163">
        <v>0.14799999999999999</v>
      </c>
      <c r="J22" s="164"/>
      <c r="K22" s="163"/>
      <c r="L22" s="165" t="str">
        <f t="shared" si="1"/>
        <v>I A</v>
      </c>
      <c r="M22" s="52" t="s">
        <v>145</v>
      </c>
      <c r="N22" s="157" t="s">
        <v>146</v>
      </c>
      <c r="O22" s="166">
        <v>2</v>
      </c>
      <c r="P22" s="167">
        <v>3</v>
      </c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</row>
    <row r="23" spans="1:243" s="54" customFormat="1" ht="16.350000000000001" customHeight="1">
      <c r="A23" s="158" t="s">
        <v>23</v>
      </c>
      <c r="B23" s="159">
        <v>300</v>
      </c>
      <c r="C23" s="160" t="s">
        <v>66</v>
      </c>
      <c r="D23" s="161" t="s">
        <v>67</v>
      </c>
      <c r="E23" s="47" t="s">
        <v>68</v>
      </c>
      <c r="F23" s="48" t="s">
        <v>22</v>
      </c>
      <c r="G23" s="163" t="s">
        <v>23</v>
      </c>
      <c r="H23" s="162">
        <v>8.06</v>
      </c>
      <c r="I23" s="163">
        <v>0.17799999999999999</v>
      </c>
      <c r="J23" s="164"/>
      <c r="K23" s="163"/>
      <c r="L23" s="165" t="str">
        <f t="shared" si="1"/>
        <v>II A</v>
      </c>
      <c r="M23" s="52" t="s">
        <v>69</v>
      </c>
      <c r="N23" s="157" t="s">
        <v>151</v>
      </c>
      <c r="O23" s="166">
        <v>2</v>
      </c>
      <c r="P23" s="167">
        <v>5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</row>
    <row r="24" spans="1:243" s="54" customFormat="1" ht="16.350000000000001" customHeight="1">
      <c r="A24" s="158" t="s">
        <v>23</v>
      </c>
      <c r="B24" s="159">
        <v>301</v>
      </c>
      <c r="C24" s="160" t="s">
        <v>14</v>
      </c>
      <c r="D24" s="161" t="s">
        <v>136</v>
      </c>
      <c r="E24" s="47" t="s">
        <v>137</v>
      </c>
      <c r="F24" s="48" t="s">
        <v>138</v>
      </c>
      <c r="G24" s="163" t="s">
        <v>23</v>
      </c>
      <c r="H24" s="162">
        <v>8.35</v>
      </c>
      <c r="I24" s="163">
        <v>0.27500000000000002</v>
      </c>
      <c r="J24" s="164"/>
      <c r="K24" s="163"/>
      <c r="L24" s="165" t="str">
        <f t="shared" si="1"/>
        <v>II A</v>
      </c>
      <c r="M24" s="52" t="s">
        <v>139</v>
      </c>
      <c r="N24" s="157" t="s">
        <v>140</v>
      </c>
      <c r="O24" s="166">
        <v>2</v>
      </c>
      <c r="P24" s="167">
        <v>2</v>
      </c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</row>
    <row r="25" spans="1:243" s="9" customFormat="1" ht="4.5" customHeight="1">
      <c r="C25" s="10"/>
      <c r="E25" s="146"/>
      <c r="F25" s="12"/>
      <c r="G25" s="13"/>
      <c r="H25" s="147"/>
      <c r="I25" s="148"/>
      <c r="J25" s="15"/>
      <c r="K25" s="148"/>
      <c r="L25" s="16"/>
      <c r="M25" s="17"/>
      <c r="N25" s="149"/>
      <c r="O25" s="149"/>
      <c r="P25" s="145"/>
    </row>
    <row r="26" spans="1:243" s="9" customFormat="1" ht="12.75" customHeight="1">
      <c r="C26" s="18"/>
      <c r="D26" s="27">
        <v>3</v>
      </c>
      <c r="E26" s="151" t="s">
        <v>98</v>
      </c>
      <c r="F26" s="29"/>
      <c r="G26" s="13"/>
      <c r="H26" s="147"/>
      <c r="I26" s="148"/>
      <c r="J26" s="15"/>
      <c r="K26" s="148"/>
      <c r="L26" s="16"/>
      <c r="M26" s="17"/>
      <c r="N26" s="149"/>
      <c r="O26" s="149"/>
      <c r="P26" s="145"/>
    </row>
    <row r="27" spans="1:243" s="9" customFormat="1" ht="6" customHeight="1">
      <c r="E27" s="152"/>
      <c r="F27" s="31"/>
      <c r="G27" s="13"/>
      <c r="H27" s="153"/>
      <c r="I27" s="148"/>
      <c r="J27" s="15"/>
      <c r="K27" s="148"/>
      <c r="L27" s="16"/>
      <c r="M27" s="17"/>
      <c r="N27" s="149"/>
      <c r="O27" s="149"/>
      <c r="P27" s="145"/>
    </row>
    <row r="28" spans="1:243" ht="11.25" customHeight="1">
      <c r="A28" s="33" t="s">
        <v>29</v>
      </c>
      <c r="B28" s="33" t="s">
        <v>4</v>
      </c>
      <c r="C28" s="35" t="s">
        <v>5</v>
      </c>
      <c r="D28" s="36" t="s">
        <v>6</v>
      </c>
      <c r="E28" s="154" t="s">
        <v>7</v>
      </c>
      <c r="F28" s="38" t="s">
        <v>8</v>
      </c>
      <c r="G28" s="39" t="s">
        <v>9</v>
      </c>
      <c r="H28" s="155" t="s">
        <v>100</v>
      </c>
      <c r="I28" s="156" t="s">
        <v>101</v>
      </c>
      <c r="J28" s="155" t="s">
        <v>102</v>
      </c>
      <c r="K28" s="156" t="s">
        <v>101</v>
      </c>
      <c r="L28" s="42" t="s">
        <v>12</v>
      </c>
      <c r="M28" s="33" t="s">
        <v>13</v>
      </c>
      <c r="N28" s="149" t="s">
        <v>103</v>
      </c>
      <c r="O28" s="149" t="s">
        <v>104</v>
      </c>
      <c r="P28" s="157" t="s">
        <v>99</v>
      </c>
    </row>
    <row r="29" spans="1:243" s="54" customFormat="1" ht="16.350000000000001" customHeight="1">
      <c r="A29" s="158">
        <v>1</v>
      </c>
      <c r="B29" s="159">
        <v>394</v>
      </c>
      <c r="C29" s="160" t="s">
        <v>165</v>
      </c>
      <c r="D29" s="161" t="s">
        <v>166</v>
      </c>
      <c r="E29" s="47" t="s">
        <v>167</v>
      </c>
      <c r="F29" s="48" t="s">
        <v>17</v>
      </c>
      <c r="G29" s="91">
        <f>IF(ISBLANK(H29),"",TRUNC(24.9*(H29-14)^2))</f>
        <v>960</v>
      </c>
      <c r="H29" s="162">
        <v>7.79</v>
      </c>
      <c r="I29" s="163">
        <v>0.16800000000000001</v>
      </c>
      <c r="J29" s="164"/>
      <c r="K29" s="163"/>
      <c r="L29" s="165" t="str">
        <f t="shared" ref="L29:L34" si="2">IF(ISBLANK(H29),"",IF(H29&gt;9.04,"",IF(H29&lt;=7.25,"TSM",IF(H29&lt;=7.45,"SM",IF(H29&lt;=7.7,"KSM",IF(H29&lt;=8,"I A",IF(H29&lt;=8.44,"II A",IF(H29&lt;=9.04,"III A"))))))))</f>
        <v>I A</v>
      </c>
      <c r="M29" s="52" t="s">
        <v>168</v>
      </c>
      <c r="N29" s="157" t="s">
        <v>169</v>
      </c>
      <c r="O29" s="166">
        <v>3</v>
      </c>
      <c r="P29" s="167">
        <v>3</v>
      </c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</row>
    <row r="30" spans="1:243" s="54" customFormat="1" ht="16.350000000000001" customHeight="1">
      <c r="A30" s="158">
        <v>2</v>
      </c>
      <c r="B30" s="159">
        <v>258</v>
      </c>
      <c r="C30" s="160" t="s">
        <v>176</v>
      </c>
      <c r="D30" s="161" t="s">
        <v>177</v>
      </c>
      <c r="E30" s="47" t="s">
        <v>178</v>
      </c>
      <c r="F30" s="48" t="s">
        <v>88</v>
      </c>
      <c r="G30" s="91">
        <f>IF(ISBLANK(H30),"",TRUNC(24.9*(H30-14)^2))</f>
        <v>884</v>
      </c>
      <c r="H30" s="162">
        <v>8.0399999999999991</v>
      </c>
      <c r="I30" s="163">
        <v>0.2</v>
      </c>
      <c r="J30" s="164"/>
      <c r="K30" s="163"/>
      <c r="L30" s="165" t="str">
        <f t="shared" si="2"/>
        <v>II A</v>
      </c>
      <c r="M30" s="52" t="s">
        <v>179</v>
      </c>
      <c r="N30" s="157" t="s">
        <v>180</v>
      </c>
      <c r="O30" s="166">
        <v>3</v>
      </c>
      <c r="P30" s="167">
        <v>5</v>
      </c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</row>
    <row r="31" spans="1:243" s="54" customFormat="1" ht="16.350000000000001" customHeight="1">
      <c r="A31" s="158">
        <v>3</v>
      </c>
      <c r="B31" s="159">
        <v>356</v>
      </c>
      <c r="C31" s="160" t="s">
        <v>161</v>
      </c>
      <c r="D31" s="161" t="s">
        <v>162</v>
      </c>
      <c r="E31" s="47" t="s">
        <v>163</v>
      </c>
      <c r="F31" s="48" t="s">
        <v>54</v>
      </c>
      <c r="G31" s="91">
        <f>IF(ISBLANK(H31),"",TRUNC(24.9*(H31-14)^2))</f>
        <v>683</v>
      </c>
      <c r="H31" s="162">
        <v>8.76</v>
      </c>
      <c r="I31" s="163">
        <v>0.19800000000000001</v>
      </c>
      <c r="J31" s="164"/>
      <c r="K31" s="163"/>
      <c r="L31" s="165" t="str">
        <f t="shared" si="2"/>
        <v>III A</v>
      </c>
      <c r="M31" s="52" t="s">
        <v>79</v>
      </c>
      <c r="N31" s="157" t="s">
        <v>164</v>
      </c>
      <c r="O31" s="166">
        <v>3</v>
      </c>
      <c r="P31" s="167">
        <v>2</v>
      </c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</row>
    <row r="32" spans="1:243" s="54" customFormat="1" ht="16.350000000000001" customHeight="1">
      <c r="A32" s="158">
        <v>4</v>
      </c>
      <c r="B32" s="159">
        <v>365</v>
      </c>
      <c r="C32" s="160" t="s">
        <v>181</v>
      </c>
      <c r="D32" s="161" t="s">
        <v>182</v>
      </c>
      <c r="E32" s="47" t="s">
        <v>183</v>
      </c>
      <c r="F32" s="48" t="s">
        <v>184</v>
      </c>
      <c r="G32" s="91">
        <f>IF(ISBLANK(H32),"",TRUNC(24.9*(H32-14)^2))</f>
        <v>670</v>
      </c>
      <c r="H32" s="162">
        <v>8.81</v>
      </c>
      <c r="I32" s="163">
        <v>0.23499999999999999</v>
      </c>
      <c r="J32" s="164"/>
      <c r="K32" s="163"/>
      <c r="L32" s="165" t="str">
        <f t="shared" si="2"/>
        <v>III A</v>
      </c>
      <c r="M32" s="52" t="s">
        <v>127</v>
      </c>
      <c r="N32" s="157" t="s">
        <v>185</v>
      </c>
      <c r="O32" s="166">
        <v>3</v>
      </c>
      <c r="P32" s="167">
        <v>6</v>
      </c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</row>
    <row r="33" spans="1:245" s="54" customFormat="1" ht="16.350000000000001" customHeight="1">
      <c r="A33" s="158" t="s">
        <v>207</v>
      </c>
      <c r="B33" s="159">
        <v>270</v>
      </c>
      <c r="C33" s="160" t="s">
        <v>170</v>
      </c>
      <c r="D33" s="161" t="s">
        <v>171</v>
      </c>
      <c r="E33" s="47" t="s">
        <v>172</v>
      </c>
      <c r="F33" s="48" t="s">
        <v>173</v>
      </c>
      <c r="G33" s="163" t="s">
        <v>23</v>
      </c>
      <c r="H33" s="162">
        <v>7.53</v>
      </c>
      <c r="I33" s="163">
        <v>0.14499999999999999</v>
      </c>
      <c r="J33" s="164"/>
      <c r="K33" s="163"/>
      <c r="L33" s="165" t="str">
        <f t="shared" si="2"/>
        <v>KSM</v>
      </c>
      <c r="M33" s="52" t="s">
        <v>174</v>
      </c>
      <c r="N33" s="157" t="s">
        <v>175</v>
      </c>
      <c r="O33" s="166">
        <v>3</v>
      </c>
      <c r="P33" s="167">
        <v>4</v>
      </c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</row>
    <row r="34" spans="1:245" s="54" customFormat="1" ht="16.350000000000001" customHeight="1">
      <c r="A34" s="158"/>
      <c r="B34" s="159">
        <v>324</v>
      </c>
      <c r="C34" s="160" t="s">
        <v>157</v>
      </c>
      <c r="D34" s="161" t="s">
        <v>158</v>
      </c>
      <c r="E34" s="47" t="s">
        <v>159</v>
      </c>
      <c r="F34" s="48" t="s">
        <v>22</v>
      </c>
      <c r="G34" s="163" t="s">
        <v>23</v>
      </c>
      <c r="H34" s="162" t="s">
        <v>30</v>
      </c>
      <c r="I34" s="163"/>
      <c r="J34" s="164"/>
      <c r="K34" s="163"/>
      <c r="L34" s="165" t="str">
        <f t="shared" si="2"/>
        <v/>
      </c>
      <c r="M34" s="52" t="s">
        <v>160</v>
      </c>
      <c r="N34" s="157" t="s">
        <v>108</v>
      </c>
      <c r="O34" s="166">
        <v>3</v>
      </c>
      <c r="P34" s="167">
        <v>1</v>
      </c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</row>
    <row r="35" spans="1:245" s="9" customFormat="1" ht="4.5" customHeight="1">
      <c r="C35" s="10"/>
      <c r="E35" s="146"/>
      <c r="F35" s="12"/>
      <c r="G35" s="13"/>
      <c r="H35" s="147"/>
      <c r="I35" s="148"/>
      <c r="J35" s="15"/>
      <c r="K35" s="148"/>
      <c r="L35" s="16"/>
      <c r="M35" s="17"/>
      <c r="N35" s="149"/>
      <c r="O35" s="149"/>
      <c r="P35" s="145"/>
    </row>
    <row r="36" spans="1:245" s="9" customFormat="1" ht="12.75" customHeight="1">
      <c r="C36" s="18"/>
      <c r="D36" s="27">
        <v>4</v>
      </c>
      <c r="E36" s="151" t="s">
        <v>98</v>
      </c>
      <c r="F36" s="29"/>
      <c r="G36" s="13"/>
      <c r="H36" s="147"/>
      <c r="I36" s="148"/>
      <c r="J36" s="15"/>
      <c r="K36" s="148"/>
      <c r="L36" s="16"/>
      <c r="M36" s="17"/>
      <c r="N36" s="149"/>
      <c r="O36" s="149"/>
      <c r="P36" s="145"/>
    </row>
    <row r="37" spans="1:245" s="18" customFormat="1" ht="11.25" customHeight="1">
      <c r="A37" s="33" t="s">
        <v>99</v>
      </c>
      <c r="B37" s="33" t="s">
        <v>4</v>
      </c>
      <c r="C37" s="35" t="s">
        <v>5</v>
      </c>
      <c r="D37" s="36" t="s">
        <v>6</v>
      </c>
      <c r="E37" s="154" t="s">
        <v>7</v>
      </c>
      <c r="F37" s="38" t="s">
        <v>8</v>
      </c>
      <c r="G37" s="39" t="s">
        <v>9</v>
      </c>
      <c r="H37" s="155" t="s">
        <v>100</v>
      </c>
      <c r="I37" s="156" t="s">
        <v>101</v>
      </c>
      <c r="J37" s="155" t="s">
        <v>102</v>
      </c>
      <c r="K37" s="156" t="s">
        <v>101</v>
      </c>
      <c r="L37" s="42" t="s">
        <v>12</v>
      </c>
      <c r="M37" s="33" t="s">
        <v>13</v>
      </c>
      <c r="N37" s="149" t="s">
        <v>103</v>
      </c>
      <c r="O37" s="149" t="s">
        <v>104</v>
      </c>
      <c r="P37" s="157" t="s">
        <v>99</v>
      </c>
      <c r="IK37" s="7"/>
    </row>
    <row r="38" spans="1:245" s="54" customFormat="1" ht="16.350000000000001" customHeight="1">
      <c r="A38" s="158">
        <v>1</v>
      </c>
      <c r="B38" s="159">
        <v>392</v>
      </c>
      <c r="C38" s="160" t="s">
        <v>105</v>
      </c>
      <c r="D38" s="161" t="s">
        <v>190</v>
      </c>
      <c r="E38" s="47" t="s">
        <v>191</v>
      </c>
      <c r="F38" s="48" t="s">
        <v>17</v>
      </c>
      <c r="G38" s="91">
        <f>IF(ISBLANK(H38),"",TRUNC(24.9*(H38-14)^2))</f>
        <v>911</v>
      </c>
      <c r="H38" s="162">
        <v>7.95</v>
      </c>
      <c r="I38" s="163">
        <v>0.157</v>
      </c>
      <c r="J38" s="164"/>
      <c r="K38" s="163"/>
      <c r="L38" s="165" t="str">
        <f t="shared" ref="L38:L43" si="3">IF(ISBLANK(H38),"",IF(H38&gt;9.04,"",IF(H38&lt;=7.25,"TSM",IF(H38&lt;=7.45,"SM",IF(H38&lt;=7.7,"KSM",IF(H38&lt;=8,"I A",IF(H38&lt;=8.44,"II A",IF(H38&lt;=9.04,"III A"))))))))</f>
        <v>I A</v>
      </c>
      <c r="M38" s="52" t="s">
        <v>192</v>
      </c>
      <c r="N38" s="157" t="s">
        <v>193</v>
      </c>
      <c r="O38" s="166">
        <v>4</v>
      </c>
      <c r="P38" s="167">
        <v>3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</row>
    <row r="39" spans="1:245" s="54" customFormat="1" ht="16.350000000000001" customHeight="1">
      <c r="A39" s="158">
        <v>2</v>
      </c>
      <c r="B39" s="159">
        <v>345</v>
      </c>
      <c r="C39" s="160" t="s">
        <v>51</v>
      </c>
      <c r="D39" s="161" t="s">
        <v>52</v>
      </c>
      <c r="E39" s="47" t="s">
        <v>53</v>
      </c>
      <c r="F39" s="48" t="s">
        <v>54</v>
      </c>
      <c r="G39" s="91">
        <f>IF(ISBLANK(H39),"",TRUNC(24.9*(H39-14)^2))</f>
        <v>852</v>
      </c>
      <c r="H39" s="162">
        <v>8.15</v>
      </c>
      <c r="I39" s="163">
        <v>0.155</v>
      </c>
      <c r="J39" s="164"/>
      <c r="K39" s="163"/>
      <c r="L39" s="165" t="str">
        <f t="shared" si="3"/>
        <v>II A</v>
      </c>
      <c r="M39" s="52" t="s">
        <v>55</v>
      </c>
      <c r="N39" s="157"/>
      <c r="O39" s="166">
        <v>4</v>
      </c>
      <c r="P39" s="167">
        <v>2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</row>
    <row r="40" spans="1:245" s="54" customFormat="1" ht="16.350000000000001" customHeight="1">
      <c r="A40" s="158">
        <v>3</v>
      </c>
      <c r="B40" s="159">
        <v>390</v>
      </c>
      <c r="C40" s="160" t="s">
        <v>105</v>
      </c>
      <c r="D40" s="161" t="s">
        <v>194</v>
      </c>
      <c r="E40" s="47" t="s">
        <v>195</v>
      </c>
      <c r="F40" s="48" t="s">
        <v>17</v>
      </c>
      <c r="G40" s="91">
        <f>IF(ISBLANK(H40),"",TRUNC(24.9*(H40-14)^2))</f>
        <v>828</v>
      </c>
      <c r="H40" s="162">
        <v>8.23</v>
      </c>
      <c r="I40" s="163">
        <v>0.17399999999999999</v>
      </c>
      <c r="J40" s="164"/>
      <c r="K40" s="163"/>
      <c r="L40" s="165" t="str">
        <f t="shared" si="3"/>
        <v>II A</v>
      </c>
      <c r="M40" s="52" t="s">
        <v>127</v>
      </c>
      <c r="N40" s="157" t="s">
        <v>196</v>
      </c>
      <c r="O40" s="166">
        <v>4</v>
      </c>
      <c r="P40" s="167">
        <v>4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</row>
    <row r="41" spans="1:245" s="54" customFormat="1" ht="16.350000000000001" customHeight="1">
      <c r="A41" s="158">
        <v>4</v>
      </c>
      <c r="B41" s="159">
        <v>371</v>
      </c>
      <c r="C41" s="160" t="s">
        <v>25</v>
      </c>
      <c r="D41" s="161" t="s">
        <v>186</v>
      </c>
      <c r="E41" s="47" t="s">
        <v>187</v>
      </c>
      <c r="F41" s="48" t="s">
        <v>184</v>
      </c>
      <c r="G41" s="91">
        <f>IF(ISBLANK(H41),"",TRUNC(24.9*(H41-14)^2))</f>
        <v>696</v>
      </c>
      <c r="H41" s="162">
        <v>8.7100000000000009</v>
      </c>
      <c r="I41" s="163">
        <v>0.16600000000000001</v>
      </c>
      <c r="J41" s="164"/>
      <c r="K41" s="163"/>
      <c r="L41" s="165" t="str">
        <f t="shared" si="3"/>
        <v>III A</v>
      </c>
      <c r="M41" s="52" t="s">
        <v>188</v>
      </c>
      <c r="N41" s="157" t="s">
        <v>189</v>
      </c>
      <c r="O41" s="166">
        <v>4</v>
      </c>
      <c r="P41" s="167">
        <v>1</v>
      </c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</row>
    <row r="42" spans="1:245" s="54" customFormat="1" ht="16.350000000000001" customHeight="1">
      <c r="A42" s="158" t="s">
        <v>23</v>
      </c>
      <c r="B42" s="159">
        <v>398</v>
      </c>
      <c r="C42" s="160" t="s">
        <v>197</v>
      </c>
      <c r="D42" s="161" t="s">
        <v>198</v>
      </c>
      <c r="E42" s="47" t="s">
        <v>199</v>
      </c>
      <c r="F42" s="48" t="s">
        <v>200</v>
      </c>
      <c r="G42" s="163" t="s">
        <v>23</v>
      </c>
      <c r="H42" s="162">
        <v>8.16</v>
      </c>
      <c r="I42" s="163">
        <v>0.20300000000000001</v>
      </c>
      <c r="J42" s="164"/>
      <c r="K42" s="163"/>
      <c r="L42" s="165" t="str">
        <f t="shared" si="3"/>
        <v>II A</v>
      </c>
      <c r="M42" s="52" t="s">
        <v>201</v>
      </c>
      <c r="N42" s="157"/>
      <c r="O42" s="166">
        <v>4</v>
      </c>
      <c r="P42" s="167">
        <v>5</v>
      </c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</row>
    <row r="43" spans="1:245" s="54" customFormat="1" ht="16.350000000000001" customHeight="1">
      <c r="A43" s="158" t="s">
        <v>23</v>
      </c>
      <c r="B43" s="159">
        <v>333</v>
      </c>
      <c r="C43" s="160" t="s">
        <v>202</v>
      </c>
      <c r="D43" s="161" t="s">
        <v>203</v>
      </c>
      <c r="E43" s="47" t="s">
        <v>204</v>
      </c>
      <c r="F43" s="48" t="s">
        <v>205</v>
      </c>
      <c r="G43" s="163" t="s">
        <v>23</v>
      </c>
      <c r="H43" s="162">
        <v>8.7899999999999991</v>
      </c>
      <c r="I43" s="163">
        <v>0.16400000000000001</v>
      </c>
      <c r="J43" s="164"/>
      <c r="K43" s="163"/>
      <c r="L43" s="165" t="str">
        <f t="shared" si="3"/>
        <v>III A</v>
      </c>
      <c r="M43" s="52" t="s">
        <v>206</v>
      </c>
      <c r="N43" s="157"/>
      <c r="O43" s="166">
        <v>4</v>
      </c>
      <c r="P43" s="167">
        <v>6</v>
      </c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</row>
  </sheetData>
  <sortState ref="A38:IK41">
    <sortCondition ref="H38:H41"/>
  </sortState>
  <printOptions horizontalCentered="1"/>
  <pageMargins left="0.9055118110236221" right="0.39370078740157483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"/>
  <sheetViews>
    <sheetView zoomScaleNormal="100" workbookViewId="0">
      <selection activeCell="N36" sqref="N36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.42578125" style="169" customWidth="1"/>
    <col min="9" max="9" width="4.85546875" style="170" customWidth="1"/>
    <col min="10" max="10" width="5.140625" style="24" customWidth="1"/>
    <col min="11" max="11" width="16.85546875" style="18" customWidth="1"/>
    <col min="12" max="12" width="4.42578125" style="178" hidden="1" customWidth="1"/>
    <col min="13" max="13" width="4.28515625" style="172" hidden="1" customWidth="1"/>
    <col min="14" max="14" width="9.140625" style="7" customWidth="1"/>
    <col min="15" max="16384" width="9.140625" style="7"/>
  </cols>
  <sheetData>
    <row r="1" spans="1:13" s="2" customFormat="1" ht="18.75">
      <c r="A1" s="1" t="s">
        <v>0</v>
      </c>
      <c r="E1" s="3"/>
      <c r="F1" s="4"/>
      <c r="G1" s="5"/>
      <c r="H1" s="169"/>
      <c r="I1" s="170"/>
      <c r="J1" s="3"/>
      <c r="L1" s="171"/>
      <c r="M1" s="172"/>
    </row>
    <row r="2" spans="1:13" s="2" customFormat="1" ht="13.5" customHeight="1">
      <c r="E2" s="3"/>
      <c r="F2" s="4"/>
      <c r="G2" s="5"/>
      <c r="H2" s="169"/>
      <c r="I2" s="170"/>
      <c r="J2" s="3"/>
      <c r="K2" s="8" t="s">
        <v>1</v>
      </c>
      <c r="L2" s="171"/>
      <c r="M2" s="172"/>
    </row>
    <row r="3" spans="1:13" s="9" customFormat="1" ht="4.5" customHeight="1">
      <c r="C3" s="10"/>
      <c r="E3" s="26"/>
      <c r="F3" s="12"/>
      <c r="G3" s="173"/>
      <c r="H3" s="174"/>
      <c r="I3" s="175"/>
      <c r="J3" s="176"/>
      <c r="K3" s="17"/>
      <c r="L3" s="177"/>
      <c r="M3" s="172"/>
    </row>
    <row r="4" spans="1:13" ht="15.75">
      <c r="C4" s="19" t="s">
        <v>208</v>
      </c>
      <c r="E4" s="20"/>
      <c r="F4" s="21"/>
      <c r="K4" s="25" t="s">
        <v>3</v>
      </c>
    </row>
    <row r="5" spans="1:13" s="9" customFormat="1" ht="4.5" customHeight="1">
      <c r="C5" s="10"/>
      <c r="E5" s="26"/>
      <c r="F5" s="12"/>
      <c r="G5" s="173"/>
      <c r="H5" s="174"/>
      <c r="I5" s="175"/>
      <c r="J5" s="176"/>
      <c r="K5" s="179"/>
      <c r="L5" s="177"/>
      <c r="M5" s="172"/>
    </row>
    <row r="6" spans="1:13" s="9" customFormat="1" ht="12.75" customHeight="1">
      <c r="C6" s="18"/>
      <c r="D6" s="27" t="s">
        <v>102</v>
      </c>
      <c r="E6" s="28"/>
      <c r="F6" s="29"/>
      <c r="G6" s="173"/>
      <c r="H6" s="174"/>
      <c r="I6" s="175"/>
      <c r="J6" s="176"/>
      <c r="K6" s="179"/>
      <c r="L6" s="177"/>
      <c r="M6" s="172"/>
    </row>
    <row r="7" spans="1:13" s="9" customFormat="1" ht="6" customHeight="1">
      <c r="E7" s="30"/>
      <c r="F7" s="31"/>
      <c r="G7" s="173"/>
      <c r="H7" s="180"/>
      <c r="I7" s="175"/>
      <c r="J7" s="176"/>
      <c r="K7" s="179"/>
      <c r="L7" s="177"/>
      <c r="M7" s="172"/>
    </row>
    <row r="8" spans="1:13" ht="11.25" customHeight="1">
      <c r="A8" s="33" t="s">
        <v>29</v>
      </c>
      <c r="B8" s="34" t="s">
        <v>4</v>
      </c>
      <c r="C8" s="35" t="s">
        <v>5</v>
      </c>
      <c r="D8" s="36" t="s">
        <v>6</v>
      </c>
      <c r="E8" s="37" t="s">
        <v>7</v>
      </c>
      <c r="F8" s="38" t="s">
        <v>8</v>
      </c>
      <c r="G8" s="39" t="s">
        <v>9</v>
      </c>
      <c r="H8" s="181" t="s">
        <v>10</v>
      </c>
      <c r="I8" s="182" t="s">
        <v>101</v>
      </c>
      <c r="J8" s="42" t="s">
        <v>12</v>
      </c>
      <c r="K8" s="33" t="s">
        <v>13</v>
      </c>
      <c r="L8" s="183" t="s">
        <v>103</v>
      </c>
      <c r="M8" s="184" t="s">
        <v>99</v>
      </c>
    </row>
    <row r="9" spans="1:13" s="54" customFormat="1" ht="16.149999999999999" customHeight="1">
      <c r="A9" s="43">
        <v>1</v>
      </c>
      <c r="B9" s="44">
        <v>298</v>
      </c>
      <c r="C9" s="160" t="s">
        <v>209</v>
      </c>
      <c r="D9" s="161" t="s">
        <v>210</v>
      </c>
      <c r="E9" s="185" t="s">
        <v>211</v>
      </c>
      <c r="F9" s="48" t="s">
        <v>212</v>
      </c>
      <c r="G9" s="186">
        <f>IF(ISBLANK(H9),"",TRUNC(11.16*((H9)-18.2)^2))</f>
        <v>946</v>
      </c>
      <c r="H9" s="187">
        <v>8.99</v>
      </c>
      <c r="I9" s="188">
        <v>0.188</v>
      </c>
      <c r="J9" s="162" t="str">
        <f>IF(ISBLANK(H9),"",IF(H9&gt;11.24,"",IF(H9&lt;=8.18,"TSM",IF(H9&lt;=8.5,"SM",IF(H9&lt;=8.9,"KSM",IF(H9&lt;=9.5,"I A",IF(H9&lt;=10.24,"II A",IF(H9&lt;=11.24,"III A"))))))))</f>
        <v>I A</v>
      </c>
      <c r="K9" s="52" t="s">
        <v>213</v>
      </c>
      <c r="L9" s="189" t="s">
        <v>214</v>
      </c>
      <c r="M9" s="184">
        <v>4</v>
      </c>
    </row>
    <row r="10" spans="1:13" s="54" customFormat="1" ht="16.149999999999999" customHeight="1">
      <c r="A10" s="43">
        <v>2</v>
      </c>
      <c r="B10" s="44">
        <v>236</v>
      </c>
      <c r="C10" s="160" t="s">
        <v>105</v>
      </c>
      <c r="D10" s="161" t="s">
        <v>72</v>
      </c>
      <c r="E10" s="185" t="s">
        <v>106</v>
      </c>
      <c r="F10" s="48" t="s">
        <v>44</v>
      </c>
      <c r="G10" s="186">
        <f>IF(ISBLANK(H10),"",TRUNC(11.16*((H10)-18.2)^2))</f>
        <v>400</v>
      </c>
      <c r="H10" s="187">
        <v>12.21</v>
      </c>
      <c r="I10" s="188">
        <v>0.63600000000000001</v>
      </c>
      <c r="J10" s="162" t="str">
        <f>IF(ISBLANK(H10),"",IF(H10&gt;11.24,"",IF(H10&lt;=8.18,"TSM",IF(H10&lt;=8.5,"SM",IF(H10&lt;=8.9,"KSM",IF(H10&lt;=9.5,"I A",IF(H10&lt;=10.24,"II A",IF(H10&lt;=11.24,"III A"))))))))</f>
        <v/>
      </c>
      <c r="K10" s="52" t="s">
        <v>107</v>
      </c>
      <c r="L10" s="189" t="s">
        <v>108</v>
      </c>
      <c r="M10" s="184">
        <v>3</v>
      </c>
    </row>
    <row r="11" spans="1:13" s="54" customFormat="1" ht="16.149999999999999" customHeight="1">
      <c r="A11" s="43"/>
      <c r="B11" s="44">
        <v>239</v>
      </c>
      <c r="C11" s="160" t="s">
        <v>215</v>
      </c>
      <c r="D11" s="161" t="s">
        <v>216</v>
      </c>
      <c r="E11" s="185" t="s">
        <v>217</v>
      </c>
      <c r="F11" s="48" t="s">
        <v>44</v>
      </c>
      <c r="G11" s="186"/>
      <c r="H11" s="187" t="s">
        <v>30</v>
      </c>
      <c r="I11" s="188"/>
      <c r="J11" s="162" t="str">
        <f>IF(ISBLANK(H11),"",IF(H11&gt;11.24,"",IF(H11&lt;=8.18,"TSM",IF(H11&lt;=8.5,"SM",IF(H11&lt;=8.9,"KSM",IF(H11&lt;=9.5,"I A",IF(H11&lt;=10.24,"II A",IF(H11&lt;=11.24,"III A"))))))))</f>
        <v/>
      </c>
      <c r="K11" s="52" t="s">
        <v>218</v>
      </c>
      <c r="L11" s="189" t="s">
        <v>219</v>
      </c>
      <c r="M11" s="184">
        <v>5</v>
      </c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I12"/>
  <sheetViews>
    <sheetView zoomScaleNormal="100" workbookViewId="0">
      <selection activeCell="A2" sqref="A2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71" customWidth="1"/>
    <col min="9" max="9" width="5.140625" style="143" customWidth="1"/>
    <col min="10" max="10" width="5.140625" style="24" customWidth="1"/>
    <col min="11" max="11" width="19.28515625" style="18" customWidth="1"/>
    <col min="12" max="12" width="6.7109375" style="191" hidden="1" customWidth="1"/>
    <col min="13" max="13" width="5.28515625" style="190" hidden="1" customWidth="1"/>
    <col min="14" max="242" width="9.140625" style="18"/>
    <col min="243" max="16384" width="9.140625" style="7"/>
  </cols>
  <sheetData>
    <row r="1" spans="1:243" s="2" customFormat="1" ht="18.75">
      <c r="A1" s="1" t="s">
        <v>0</v>
      </c>
      <c r="E1" s="3"/>
      <c r="F1" s="4"/>
      <c r="G1" s="5"/>
      <c r="H1" s="71"/>
      <c r="I1" s="143"/>
      <c r="J1" s="3"/>
      <c r="L1" s="199"/>
      <c r="M1" s="198"/>
      <c r="II1" s="7"/>
    </row>
    <row r="2" spans="1:243" s="2" customFormat="1" ht="13.5" customHeight="1">
      <c r="E2" s="3"/>
      <c r="F2" s="4"/>
      <c r="G2" s="5"/>
      <c r="H2" s="71"/>
      <c r="I2" s="143"/>
      <c r="J2" s="3"/>
      <c r="K2" s="8" t="s">
        <v>1</v>
      </c>
      <c r="L2" s="199"/>
      <c r="M2" s="198"/>
      <c r="II2" s="7"/>
    </row>
    <row r="3" spans="1:243" s="9" customFormat="1" ht="4.5" customHeight="1">
      <c r="C3" s="10"/>
      <c r="E3" s="26"/>
      <c r="F3" s="12"/>
      <c r="G3" s="13"/>
      <c r="H3" s="147"/>
      <c r="I3" s="148"/>
      <c r="J3" s="16"/>
      <c r="K3" s="17"/>
      <c r="L3" s="191"/>
      <c r="M3" s="190"/>
    </row>
    <row r="4" spans="1:243" ht="15.75">
      <c r="C4" s="19" t="s">
        <v>238</v>
      </c>
      <c r="E4" s="20"/>
      <c r="F4" s="21"/>
      <c r="K4" s="25" t="s">
        <v>3</v>
      </c>
    </row>
    <row r="5" spans="1:243" s="9" customFormat="1" ht="4.5" customHeight="1">
      <c r="C5" s="10"/>
      <c r="E5" s="26"/>
      <c r="F5" s="12"/>
      <c r="G5" s="13"/>
      <c r="H5" s="147"/>
      <c r="I5" s="148"/>
      <c r="J5" s="16"/>
      <c r="K5" s="17"/>
      <c r="L5" s="191"/>
      <c r="M5" s="190"/>
    </row>
    <row r="6" spans="1:243" s="9" customFormat="1" ht="12.75" customHeight="1">
      <c r="C6" s="18"/>
      <c r="D6" s="27" t="s">
        <v>102</v>
      </c>
      <c r="E6" s="28"/>
      <c r="F6" s="29"/>
      <c r="G6" s="13"/>
      <c r="H6" s="147"/>
      <c r="I6" s="148"/>
      <c r="J6" s="16"/>
      <c r="K6" s="17"/>
      <c r="L6" s="191"/>
      <c r="M6" s="190"/>
    </row>
    <row r="7" spans="1:243" s="9" customFormat="1" ht="6" customHeight="1">
      <c r="E7" s="30"/>
      <c r="F7" s="31"/>
      <c r="G7" s="13"/>
      <c r="H7" s="153"/>
      <c r="I7" s="148"/>
      <c r="J7" s="16"/>
      <c r="K7" s="17"/>
      <c r="L7" s="191"/>
      <c r="M7" s="190"/>
    </row>
    <row r="8" spans="1:243" ht="11.25" customHeight="1">
      <c r="A8" s="33" t="s">
        <v>29</v>
      </c>
      <c r="B8" s="34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</v>
      </c>
      <c r="I8" s="156" t="s">
        <v>101</v>
      </c>
      <c r="J8" s="42" t="s">
        <v>12</v>
      </c>
      <c r="K8" s="33" t="s">
        <v>13</v>
      </c>
      <c r="L8" s="191" t="s">
        <v>103</v>
      </c>
      <c r="M8" s="192" t="s">
        <v>99</v>
      </c>
    </row>
    <row r="9" spans="1:243" s="54" customFormat="1" ht="16.350000000000001" customHeight="1">
      <c r="A9" s="43">
        <v>1</v>
      </c>
      <c r="B9" s="44">
        <v>281</v>
      </c>
      <c r="C9" s="160" t="s">
        <v>237</v>
      </c>
      <c r="D9" s="161" t="s">
        <v>236</v>
      </c>
      <c r="E9" s="185" t="s">
        <v>235</v>
      </c>
      <c r="F9" s="196" t="s">
        <v>49</v>
      </c>
      <c r="G9" s="91">
        <f>IF(ISBLANK(H9),"",TRUNC(23.9*((H9)-14.6)^2))</f>
        <v>957</v>
      </c>
      <c r="H9" s="84">
        <v>8.27</v>
      </c>
      <c r="I9" s="195">
        <v>0.155</v>
      </c>
      <c r="J9" s="197" t="str">
        <f>IF(ISBLANK(H9),"",IF(H9&gt;10.4,"",IF(H9&lt;=7.75,"TSM",IF(H9&lt;=8.1,"SM",IF(H9&lt;=8.55,"KSM",IF(H9&lt;=9.1,"I A",IF(H9&lt;=9.7,"II A",IF(H9&lt;=10.4,"III A"))))))))</f>
        <v>KSM</v>
      </c>
      <c r="K9" s="52" t="s">
        <v>234</v>
      </c>
      <c r="L9" s="193" t="s">
        <v>233</v>
      </c>
      <c r="M9" s="192">
        <v>3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</row>
    <row r="10" spans="1:243" s="54" customFormat="1" ht="16.350000000000001" customHeight="1">
      <c r="A10" s="43">
        <v>2</v>
      </c>
      <c r="B10" s="44">
        <v>393</v>
      </c>
      <c r="C10" s="160" t="s">
        <v>232</v>
      </c>
      <c r="D10" s="161" t="s">
        <v>231</v>
      </c>
      <c r="E10" s="185" t="s">
        <v>230</v>
      </c>
      <c r="F10" s="196" t="s">
        <v>17</v>
      </c>
      <c r="G10" s="91">
        <f>IF(ISBLANK(H10),"",TRUNC(23.9*((H10)-14.6)^2))</f>
        <v>945</v>
      </c>
      <c r="H10" s="84">
        <v>8.31</v>
      </c>
      <c r="I10" s="195">
        <v>0.16800000000000001</v>
      </c>
      <c r="J10" s="197" t="str">
        <f>IF(ISBLANK(H10),"",IF(H10&gt;10.4,"",IF(H10&lt;=7.75,"TSM",IF(H10&lt;=8.1,"SM",IF(H10&lt;=8.55,"KSM",IF(H10&lt;=9.1,"I A",IF(H10&lt;=9.7,"II A",IF(H10&lt;=10.4,"III A"))))))))</f>
        <v>KSM</v>
      </c>
      <c r="K10" s="52" t="s">
        <v>229</v>
      </c>
      <c r="L10" s="193" t="s">
        <v>228</v>
      </c>
      <c r="M10" s="192">
        <v>4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</row>
    <row r="11" spans="1:243" s="54" customFormat="1" ht="16.350000000000001" customHeight="1">
      <c r="A11" s="43">
        <v>3</v>
      </c>
      <c r="B11" s="44">
        <v>275</v>
      </c>
      <c r="C11" s="160" t="s">
        <v>227</v>
      </c>
      <c r="D11" s="161" t="s">
        <v>226</v>
      </c>
      <c r="E11" s="185" t="s">
        <v>225</v>
      </c>
      <c r="F11" s="196" t="s">
        <v>49</v>
      </c>
      <c r="G11" s="91">
        <f>IF(ISBLANK(H11),"",TRUNC(23.9*((H11)-14.6)^2))</f>
        <v>749</v>
      </c>
      <c r="H11" s="84">
        <v>9</v>
      </c>
      <c r="I11" s="195">
        <v>0.16</v>
      </c>
      <c r="J11" s="197" t="str">
        <f>IF(ISBLANK(H11),"",IF(H11&gt;10.4,"",IF(H11&lt;=7.75,"TSM",IF(H11&lt;=8.1,"SM",IF(H11&lt;=8.55,"KSM",IF(H11&lt;=9.1,"I A",IF(H11&lt;=9.7,"II A",IF(H11&lt;=10.4,"III A"))))))))</f>
        <v>I A</v>
      </c>
      <c r="K11" s="52" t="s">
        <v>224</v>
      </c>
      <c r="L11" s="193" t="s">
        <v>108</v>
      </c>
      <c r="M11" s="192">
        <v>5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</row>
    <row r="12" spans="1:243" s="54" customFormat="1" ht="16.350000000000001" customHeight="1">
      <c r="A12" s="43" t="s">
        <v>23</v>
      </c>
      <c r="B12" s="44">
        <v>328</v>
      </c>
      <c r="C12" s="45" t="s">
        <v>223</v>
      </c>
      <c r="D12" s="46" t="s">
        <v>222</v>
      </c>
      <c r="E12" s="185" t="s">
        <v>221</v>
      </c>
      <c r="F12" s="196" t="s">
        <v>22</v>
      </c>
      <c r="G12" s="91" t="s">
        <v>23</v>
      </c>
      <c r="H12" s="84">
        <v>8.34</v>
      </c>
      <c r="I12" s="195">
        <v>0.14799999999999999</v>
      </c>
      <c r="J12" s="194" t="str">
        <f>IF(ISBLANK(H12),"",IF(H12&gt;10.4,"",IF(H12&lt;=7.75,"TSM",IF(H12&lt;=8.1,"SM",IF(H12&lt;=8.55,"KSM",IF(H12&lt;=9.1,"I A",IF(H12&lt;=9.7,"II A",IF(H12&lt;=10.4,"III A"))))))))</f>
        <v>KSM</v>
      </c>
      <c r="K12" s="52" t="s">
        <v>160</v>
      </c>
      <c r="L12" s="193" t="s">
        <v>220</v>
      </c>
      <c r="M12" s="192">
        <v>2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M24"/>
  <sheetViews>
    <sheetView zoomScaleNormal="100" workbookViewId="0">
      <selection activeCell="H9" sqref="H9:H12"/>
    </sheetView>
  </sheetViews>
  <sheetFormatPr defaultColWidth="9.140625" defaultRowHeight="12.75"/>
  <cols>
    <col min="1" max="2" width="5.7109375" style="9" customWidth="1"/>
    <col min="3" max="3" width="11.140625" style="9" customWidth="1"/>
    <col min="4" max="4" width="15.42578125" style="9" bestFit="1" customWidth="1"/>
    <col min="5" max="5" width="11.42578125" style="402" customWidth="1"/>
    <col min="6" max="6" width="15" style="403" customWidth="1"/>
    <col min="7" max="7" width="10.140625" style="404" customWidth="1"/>
    <col min="8" max="8" width="10.140625" style="405" customWidth="1"/>
    <col min="9" max="9" width="8.140625" style="16" hidden="1" customWidth="1"/>
    <col min="10" max="10" width="9.5703125" style="70" customWidth="1"/>
    <col min="11" max="11" width="35.7109375" style="9" customWidth="1"/>
    <col min="12" max="16384" width="9.140625" style="9"/>
  </cols>
  <sheetData>
    <row r="1" spans="1:247" s="64" customFormat="1" ht="18.75">
      <c r="A1" s="1" t="s">
        <v>0</v>
      </c>
      <c r="E1" s="59"/>
      <c r="F1" s="369"/>
      <c r="G1" s="370"/>
      <c r="H1" s="143"/>
      <c r="I1" s="298"/>
      <c r="J1" s="59"/>
      <c r="L1" s="59"/>
      <c r="IM1" s="9"/>
    </row>
    <row r="2" spans="1:247" s="64" customFormat="1" ht="13.5" customHeight="1">
      <c r="E2" s="59"/>
      <c r="F2" s="369"/>
      <c r="G2" s="370"/>
      <c r="H2" s="143"/>
      <c r="I2" s="298"/>
      <c r="J2" s="59"/>
      <c r="K2" s="8" t="s">
        <v>1</v>
      </c>
      <c r="L2" s="59"/>
      <c r="IM2" s="9"/>
    </row>
    <row r="3" spans="1:247" ht="4.5" customHeight="1">
      <c r="C3" s="10"/>
      <c r="E3" s="371">
        <v>1.1574074074074073E-5</v>
      </c>
      <c r="F3" s="207"/>
      <c r="G3" s="68"/>
      <c r="H3" s="15"/>
      <c r="I3" s="298"/>
      <c r="J3" s="15"/>
      <c r="K3" s="17"/>
      <c r="L3" s="16"/>
      <c r="M3" s="208"/>
      <c r="N3" s="17"/>
    </row>
    <row r="4" spans="1:247" ht="15.75">
      <c r="C4" s="10" t="s">
        <v>733</v>
      </c>
      <c r="E4" s="26"/>
      <c r="F4" s="12"/>
      <c r="G4" s="370"/>
      <c r="H4" s="143"/>
      <c r="I4" s="298"/>
      <c r="J4" s="298"/>
      <c r="K4" s="25" t="s">
        <v>3</v>
      </c>
      <c r="L4" s="298"/>
    </row>
    <row r="5" spans="1:247" ht="4.5" customHeight="1">
      <c r="C5" s="10"/>
      <c r="E5" s="207"/>
      <c r="F5" s="207"/>
      <c r="G5" s="68"/>
      <c r="H5" s="15"/>
      <c r="I5" s="298"/>
      <c r="J5" s="15"/>
      <c r="K5" s="298"/>
      <c r="L5" s="16"/>
      <c r="M5" s="208"/>
      <c r="N5" s="17"/>
    </row>
    <row r="6" spans="1:247" ht="12" customHeight="1">
      <c r="C6" s="10"/>
      <c r="D6" s="372"/>
      <c r="E6" s="373"/>
      <c r="F6" s="374"/>
      <c r="G6" s="68"/>
      <c r="H6" s="15"/>
      <c r="I6" s="298"/>
      <c r="J6" s="15"/>
      <c r="K6" s="298"/>
      <c r="L6" s="16"/>
      <c r="M6" s="208"/>
      <c r="N6" s="17"/>
    </row>
    <row r="7" spans="1:247" ht="6" customHeight="1" thickBot="1">
      <c r="D7" s="27"/>
      <c r="E7" s="375"/>
      <c r="F7" s="376"/>
      <c r="G7" s="68"/>
      <c r="H7" s="15"/>
      <c r="I7" s="298"/>
      <c r="J7" s="15"/>
      <c r="K7" s="298"/>
      <c r="L7" s="16"/>
      <c r="M7" s="208"/>
      <c r="N7" s="17"/>
    </row>
    <row r="8" spans="1:247" s="208" customFormat="1" ht="12" thickBot="1">
      <c r="A8" s="377" t="s">
        <v>29</v>
      </c>
      <c r="B8" s="378" t="s">
        <v>4</v>
      </c>
      <c r="C8" s="379" t="s">
        <v>5</v>
      </c>
      <c r="D8" s="380" t="s">
        <v>6</v>
      </c>
      <c r="E8" s="381" t="s">
        <v>7</v>
      </c>
      <c r="F8" s="382" t="s">
        <v>8</v>
      </c>
      <c r="G8" s="383" t="s">
        <v>9</v>
      </c>
      <c r="H8" s="384" t="s">
        <v>10</v>
      </c>
      <c r="I8" s="385" t="s">
        <v>101</v>
      </c>
      <c r="J8" s="385" t="s">
        <v>12</v>
      </c>
      <c r="K8" s="386" t="s">
        <v>13</v>
      </c>
    </row>
    <row r="9" spans="1:247" ht="18" customHeight="1">
      <c r="A9" s="482">
        <v>1</v>
      </c>
      <c r="B9" s="414">
        <v>354</v>
      </c>
      <c r="C9" s="415" t="s">
        <v>129</v>
      </c>
      <c r="D9" s="416" t="s">
        <v>130</v>
      </c>
      <c r="E9" s="417" t="s">
        <v>131</v>
      </c>
      <c r="F9" s="387" t="s">
        <v>54</v>
      </c>
      <c r="G9" s="485">
        <f>IF(ISBLANK(H9),"",TRUNC(0.0826*((H9/$E$3)-212)^2))</f>
        <v>823</v>
      </c>
      <c r="H9" s="488">
        <v>1.2982638888888889E-3</v>
      </c>
      <c r="I9" s="491"/>
      <c r="J9" s="485" t="str">
        <f>IF(ISBLANK(H9),"",IF(H9&lt;=0.00118055555555556,"KSM",IF(H9&lt;=0.00124421296296296,"I A",IF(H9&lt;=0.00133101851851852,"II A",IF(H9&lt;=0.00144675925925926,"III A",IF(H9&lt;=0.00155092592592593,"I JA",IF(H9&lt;=0.00163194444444444,"II JA",IF(H9&lt;=0.00170138888888889,"III JA",))))))))</f>
        <v>II A</v>
      </c>
      <c r="K9" s="418" t="s">
        <v>132</v>
      </c>
    </row>
    <row r="10" spans="1:247" ht="18" customHeight="1">
      <c r="A10" s="483"/>
      <c r="B10" s="388">
        <v>355</v>
      </c>
      <c r="C10" s="389" t="s">
        <v>114</v>
      </c>
      <c r="D10" s="390" t="s">
        <v>115</v>
      </c>
      <c r="E10" s="421" t="s">
        <v>116</v>
      </c>
      <c r="F10" s="391" t="s">
        <v>54</v>
      </c>
      <c r="G10" s="486"/>
      <c r="H10" s="489"/>
      <c r="I10" s="492"/>
      <c r="J10" s="494"/>
      <c r="K10" s="392" t="s">
        <v>117</v>
      </c>
    </row>
    <row r="11" spans="1:247" ht="18" customHeight="1">
      <c r="A11" s="483"/>
      <c r="B11" s="419">
        <v>356</v>
      </c>
      <c r="C11" s="393" t="s">
        <v>161</v>
      </c>
      <c r="D11" s="394" t="s">
        <v>162</v>
      </c>
      <c r="E11" s="395" t="s">
        <v>163</v>
      </c>
      <c r="F11" s="391" t="s">
        <v>54</v>
      </c>
      <c r="G11" s="486"/>
      <c r="H11" s="489"/>
      <c r="I11" s="492"/>
      <c r="J11" s="495"/>
      <c r="K11" s="396" t="s">
        <v>79</v>
      </c>
    </row>
    <row r="12" spans="1:247" ht="18" customHeight="1" thickBot="1">
      <c r="A12" s="484"/>
      <c r="B12" s="397">
        <v>350</v>
      </c>
      <c r="C12" s="398" t="s">
        <v>152</v>
      </c>
      <c r="D12" s="399" t="s">
        <v>153</v>
      </c>
      <c r="E12" s="422" t="s">
        <v>154</v>
      </c>
      <c r="F12" s="400" t="s">
        <v>54</v>
      </c>
      <c r="G12" s="487"/>
      <c r="H12" s="490"/>
      <c r="I12" s="493"/>
      <c r="J12" s="487"/>
      <c r="K12" s="401" t="s">
        <v>155</v>
      </c>
    </row>
    <row r="13" spans="1:247" ht="18" customHeight="1">
      <c r="A13" s="482">
        <v>2</v>
      </c>
      <c r="B13" s="414">
        <v>288</v>
      </c>
      <c r="C13" s="415" t="s">
        <v>658</v>
      </c>
      <c r="D13" s="416" t="s">
        <v>657</v>
      </c>
      <c r="E13" s="417" t="s">
        <v>656</v>
      </c>
      <c r="F13" s="387" t="s">
        <v>49</v>
      </c>
      <c r="G13" s="485">
        <f>IF(ISBLANK(H13),"",TRUNC(0.0826*((H13/$E$3)-212)^2))</f>
        <v>778</v>
      </c>
      <c r="H13" s="488">
        <v>1.3302083333333334E-3</v>
      </c>
      <c r="I13" s="491"/>
      <c r="J13" s="485" t="str">
        <f>IF(ISBLANK(H13),"",IF(H13&lt;=0.00118055555555556,"KSM",IF(H13&lt;=0.00124421296296296,"I A",IF(H13&lt;=0.00133101851851852,"II A",IF(H13&lt;=0.00144675925925926,"III A",IF(H13&lt;=0.00155092592592593,"I JA",IF(H13&lt;=0.00163194444444444,"II JA",IF(H13&lt;=0.00170138888888889,"III JA",))))))))</f>
        <v>II A</v>
      </c>
      <c r="K13" s="418" t="s">
        <v>655</v>
      </c>
    </row>
    <row r="14" spans="1:247" ht="18" customHeight="1">
      <c r="A14" s="483"/>
      <c r="B14" s="388">
        <v>286</v>
      </c>
      <c r="C14" s="389" t="s">
        <v>622</v>
      </c>
      <c r="D14" s="390" t="s">
        <v>621</v>
      </c>
      <c r="E14" s="421" t="s">
        <v>620</v>
      </c>
      <c r="F14" s="391" t="s">
        <v>49</v>
      </c>
      <c r="G14" s="486"/>
      <c r="H14" s="489"/>
      <c r="I14" s="492"/>
      <c r="J14" s="494"/>
      <c r="K14" s="392" t="s">
        <v>602</v>
      </c>
    </row>
    <row r="15" spans="1:247" ht="18" customHeight="1">
      <c r="A15" s="483"/>
      <c r="B15" s="419">
        <v>280</v>
      </c>
      <c r="C15" s="393" t="s">
        <v>147</v>
      </c>
      <c r="D15" s="394" t="s">
        <v>293</v>
      </c>
      <c r="E15" s="395" t="s">
        <v>734</v>
      </c>
      <c r="F15" s="391" t="s">
        <v>49</v>
      </c>
      <c r="G15" s="486"/>
      <c r="H15" s="489"/>
      <c r="I15" s="492"/>
      <c r="J15" s="495"/>
      <c r="K15" s="396" t="s">
        <v>292</v>
      </c>
    </row>
    <row r="16" spans="1:247" ht="18" customHeight="1" thickBot="1">
      <c r="A16" s="484"/>
      <c r="B16" s="397">
        <v>285</v>
      </c>
      <c r="C16" s="398" t="s">
        <v>46</v>
      </c>
      <c r="D16" s="399" t="s">
        <v>47</v>
      </c>
      <c r="E16" s="422" t="s">
        <v>48</v>
      </c>
      <c r="F16" s="400" t="s">
        <v>49</v>
      </c>
      <c r="G16" s="487"/>
      <c r="H16" s="490"/>
      <c r="I16" s="493"/>
      <c r="J16" s="487"/>
      <c r="K16" s="401" t="s">
        <v>50</v>
      </c>
    </row>
    <row r="17" spans="1:11" ht="18" customHeight="1">
      <c r="A17" s="482">
        <v>3</v>
      </c>
      <c r="B17" s="414">
        <v>260</v>
      </c>
      <c r="C17" s="415" t="s">
        <v>141</v>
      </c>
      <c r="D17" s="416" t="s">
        <v>464</v>
      </c>
      <c r="E17" s="417" t="s">
        <v>463</v>
      </c>
      <c r="F17" s="387" t="s">
        <v>88</v>
      </c>
      <c r="G17" s="485">
        <f>IF(ISBLANK(H17),"",TRUNC(0.0826*((H17/$E$3)-212)^2))</f>
        <v>732</v>
      </c>
      <c r="H17" s="488">
        <v>1.3636574074074074E-3</v>
      </c>
      <c r="I17" s="491"/>
      <c r="J17" s="485" t="str">
        <f>IF(ISBLANK(H17),"",IF(H17&lt;=0.00118055555555556,"KSM",IF(H17&lt;=0.00124421296296296,"I A",IF(H17&lt;=0.00133101851851852,"II A",IF(H17&lt;=0.00144675925925926,"III A",IF(H17&lt;=0.00155092592592593,"I JA",IF(H17&lt;=0.00163194444444444,"II JA",IF(H17&lt;=0.00170138888888889,"III JA",))))))))</f>
        <v>III A</v>
      </c>
      <c r="K17" s="418" t="s">
        <v>462</v>
      </c>
    </row>
    <row r="18" spans="1:11" ht="18" customHeight="1">
      <c r="A18" s="483"/>
      <c r="B18" s="388">
        <v>259</v>
      </c>
      <c r="C18" s="389" t="s">
        <v>465</v>
      </c>
      <c r="D18" s="390" t="s">
        <v>464</v>
      </c>
      <c r="E18" s="421" t="s">
        <v>463</v>
      </c>
      <c r="F18" s="391" t="s">
        <v>88</v>
      </c>
      <c r="G18" s="486"/>
      <c r="H18" s="489"/>
      <c r="I18" s="492"/>
      <c r="J18" s="494"/>
      <c r="K18" s="392" t="s">
        <v>462</v>
      </c>
    </row>
    <row r="19" spans="1:11" ht="18" customHeight="1">
      <c r="A19" s="483"/>
      <c r="B19" s="419">
        <v>261</v>
      </c>
      <c r="C19" s="393" t="s">
        <v>141</v>
      </c>
      <c r="D19" s="394" t="s">
        <v>299</v>
      </c>
      <c r="E19" s="395" t="s">
        <v>300</v>
      </c>
      <c r="F19" s="391" t="s">
        <v>88</v>
      </c>
      <c r="G19" s="486"/>
      <c r="H19" s="489"/>
      <c r="I19" s="492"/>
      <c r="J19" s="495"/>
      <c r="K19" s="396" t="s">
        <v>292</v>
      </c>
    </row>
    <row r="20" spans="1:11" ht="18" customHeight="1" thickBot="1">
      <c r="A20" s="484"/>
      <c r="B20" s="397">
        <v>258</v>
      </c>
      <c r="C20" s="398" t="s">
        <v>176</v>
      </c>
      <c r="D20" s="399" t="s">
        <v>177</v>
      </c>
      <c r="E20" s="422" t="s">
        <v>178</v>
      </c>
      <c r="F20" s="400" t="s">
        <v>88</v>
      </c>
      <c r="G20" s="487"/>
      <c r="H20" s="490"/>
      <c r="I20" s="493"/>
      <c r="J20" s="487"/>
      <c r="K20" s="401" t="s">
        <v>179</v>
      </c>
    </row>
    <row r="21" spans="1:11" ht="18" customHeight="1">
      <c r="A21" s="482">
        <v>4</v>
      </c>
      <c r="B21" s="414">
        <v>238</v>
      </c>
      <c r="C21" s="415" t="s">
        <v>41</v>
      </c>
      <c r="D21" s="416" t="s">
        <v>42</v>
      </c>
      <c r="E21" s="417" t="s">
        <v>43</v>
      </c>
      <c r="F21" s="387" t="s">
        <v>44</v>
      </c>
      <c r="G21" s="485">
        <f>IF(ISBLANK(H21),"",TRUNC(0.0826*((H21/$E$3)-212)^2))</f>
        <v>697</v>
      </c>
      <c r="H21" s="488">
        <v>1.3905092592592595E-3</v>
      </c>
      <c r="I21" s="491"/>
      <c r="J21" s="485" t="str">
        <f>IF(ISBLANK(H21),"",IF(H21&lt;=0.00118055555555556,"KSM",IF(H21&lt;=0.00124421296296296,"I A",IF(H21&lt;=0.00133101851851852,"II A",IF(H21&lt;=0.00144675925925926,"III A",IF(H21&lt;=0.00155092592592593,"I JA",IF(H21&lt;=0.00163194444444444,"II JA",IF(H21&lt;=0.00170138888888889,"III JA",))))))))</f>
        <v>III A</v>
      </c>
      <c r="K21" s="418" t="s">
        <v>45</v>
      </c>
    </row>
    <row r="22" spans="1:11" ht="18" customHeight="1">
      <c r="A22" s="483"/>
      <c r="B22" s="388">
        <v>236</v>
      </c>
      <c r="C22" s="389" t="s">
        <v>105</v>
      </c>
      <c r="D22" s="390" t="s">
        <v>72</v>
      </c>
      <c r="E22" s="421" t="s">
        <v>106</v>
      </c>
      <c r="F22" s="391" t="s">
        <v>44</v>
      </c>
      <c r="G22" s="486"/>
      <c r="H22" s="489"/>
      <c r="I22" s="492"/>
      <c r="J22" s="494"/>
      <c r="K22" s="392" t="s">
        <v>107</v>
      </c>
    </row>
    <row r="23" spans="1:11" ht="18" customHeight="1">
      <c r="A23" s="483"/>
      <c r="B23" s="419">
        <v>237</v>
      </c>
      <c r="C23" s="393" t="s">
        <v>669</v>
      </c>
      <c r="D23" s="394" t="s">
        <v>670</v>
      </c>
      <c r="E23" s="395" t="s">
        <v>671</v>
      </c>
      <c r="F23" s="391" t="s">
        <v>44</v>
      </c>
      <c r="G23" s="486"/>
      <c r="H23" s="489"/>
      <c r="I23" s="492"/>
      <c r="J23" s="495"/>
      <c r="K23" s="396" t="s">
        <v>634</v>
      </c>
    </row>
    <row r="24" spans="1:11" ht="18" customHeight="1" thickBot="1">
      <c r="A24" s="484"/>
      <c r="B24" s="397">
        <v>240</v>
      </c>
      <c r="C24" s="398" t="s">
        <v>41</v>
      </c>
      <c r="D24" s="399" t="s">
        <v>632</v>
      </c>
      <c r="E24" s="422" t="s">
        <v>633</v>
      </c>
      <c r="F24" s="400" t="s">
        <v>44</v>
      </c>
      <c r="G24" s="487"/>
      <c r="H24" s="490"/>
      <c r="I24" s="493"/>
      <c r="J24" s="487"/>
      <c r="K24" s="401" t="s">
        <v>634</v>
      </c>
    </row>
  </sheetData>
  <mergeCells count="20">
    <mergeCell ref="A13:A16"/>
    <mergeCell ref="G13:G16"/>
    <mergeCell ref="H13:H16"/>
    <mergeCell ref="I13:I16"/>
    <mergeCell ref="J13:J16"/>
    <mergeCell ref="A17:A20"/>
    <mergeCell ref="G17:G20"/>
    <mergeCell ref="H17:H20"/>
    <mergeCell ref="I17:I20"/>
    <mergeCell ref="J17:J20"/>
    <mergeCell ref="A9:A12"/>
    <mergeCell ref="G9:G12"/>
    <mergeCell ref="H9:H12"/>
    <mergeCell ref="I9:I12"/>
    <mergeCell ref="J9:J12"/>
    <mergeCell ref="A21:A24"/>
    <mergeCell ref="G21:G24"/>
    <mergeCell ref="H21:H24"/>
    <mergeCell ref="I21:I24"/>
    <mergeCell ref="J21:J24"/>
  </mergeCells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L23"/>
  <sheetViews>
    <sheetView zoomScaleNormal="100" workbookViewId="0">
      <selection activeCell="F26" sqref="F26"/>
    </sheetView>
  </sheetViews>
  <sheetFormatPr defaultColWidth="9.140625" defaultRowHeight="12.75"/>
  <cols>
    <col min="1" max="2" width="5.7109375" style="9" customWidth="1"/>
    <col min="3" max="3" width="11.140625" style="9" customWidth="1"/>
    <col min="4" max="4" width="15.42578125" style="9" bestFit="1" customWidth="1"/>
    <col min="5" max="5" width="12.140625" style="402" customWidth="1"/>
    <col min="6" max="6" width="15" style="403" customWidth="1"/>
    <col min="7" max="7" width="10.140625" style="404" customWidth="1"/>
    <col min="8" max="8" width="10.140625" style="405" customWidth="1"/>
    <col min="9" max="9" width="9.5703125" style="70" customWidth="1"/>
    <col min="10" max="10" width="29.42578125" style="9" customWidth="1"/>
    <col min="11" max="16384" width="9.140625" style="9"/>
  </cols>
  <sheetData>
    <row r="1" spans="1:246" s="64" customFormat="1" ht="18.75">
      <c r="A1" s="1" t="s">
        <v>0</v>
      </c>
      <c r="E1" s="59"/>
      <c r="F1" s="369"/>
      <c r="G1" s="370"/>
      <c r="H1" s="143"/>
      <c r="I1" s="59"/>
      <c r="K1" s="59"/>
      <c r="IL1" s="9"/>
    </row>
    <row r="2" spans="1:246" s="64" customFormat="1" ht="13.5" customHeight="1">
      <c r="E2" s="59"/>
      <c r="F2" s="369"/>
      <c r="G2" s="370"/>
      <c r="H2" s="143"/>
      <c r="I2" s="59"/>
      <c r="J2" s="8" t="s">
        <v>1</v>
      </c>
      <c r="K2" s="59"/>
      <c r="IL2" s="9"/>
    </row>
    <row r="3" spans="1:246" ht="4.5" customHeight="1">
      <c r="C3" s="10"/>
      <c r="E3" s="371">
        <v>1.1574074074074073E-5</v>
      </c>
      <c r="F3" s="207"/>
      <c r="G3" s="68"/>
      <c r="H3" s="15"/>
      <c r="I3" s="15"/>
      <c r="J3" s="17"/>
      <c r="K3" s="16"/>
      <c r="L3" s="208"/>
      <c r="M3" s="17"/>
    </row>
    <row r="4" spans="1:246" ht="15.75">
      <c r="C4" s="10" t="s">
        <v>744</v>
      </c>
      <c r="E4" s="26"/>
      <c r="F4" s="12"/>
      <c r="G4" s="370"/>
      <c r="H4" s="143"/>
      <c r="I4" s="298"/>
      <c r="J4" s="25" t="s">
        <v>3</v>
      </c>
      <c r="K4" s="298"/>
    </row>
    <row r="5" spans="1:246" ht="4.5" customHeight="1">
      <c r="C5" s="10"/>
      <c r="E5" s="207"/>
      <c r="F5" s="207"/>
      <c r="G5" s="68"/>
      <c r="H5" s="15"/>
      <c r="I5" s="15"/>
      <c r="J5" s="298"/>
      <c r="K5" s="16"/>
      <c r="L5" s="208"/>
      <c r="M5" s="17"/>
    </row>
    <row r="6" spans="1:246" ht="3" customHeight="1" thickBot="1">
      <c r="C6" s="10"/>
      <c r="D6" s="64"/>
      <c r="E6" s="207"/>
      <c r="F6" s="207"/>
      <c r="G6" s="68"/>
      <c r="H6" s="15"/>
      <c r="I6" s="15"/>
      <c r="J6" s="298"/>
      <c r="K6" s="16"/>
      <c r="L6" s="208"/>
      <c r="M6" s="17"/>
    </row>
    <row r="7" spans="1:246" s="208" customFormat="1" ht="12" thickBot="1">
      <c r="A7" s="406" t="s">
        <v>29</v>
      </c>
      <c r="B7" s="424" t="s">
        <v>4</v>
      </c>
      <c r="C7" s="407" t="s">
        <v>5</v>
      </c>
      <c r="D7" s="408" t="s">
        <v>6</v>
      </c>
      <c r="E7" s="425" t="s">
        <v>7</v>
      </c>
      <c r="F7" s="409" t="s">
        <v>8</v>
      </c>
      <c r="G7" s="410" t="s">
        <v>9</v>
      </c>
      <c r="H7" s="411" t="s">
        <v>10</v>
      </c>
      <c r="I7" s="412" t="s">
        <v>12</v>
      </c>
      <c r="J7" s="413" t="s">
        <v>13</v>
      </c>
    </row>
    <row r="8" spans="1:246" ht="18" customHeight="1">
      <c r="A8" s="426"/>
      <c r="B8" s="427">
        <v>393</v>
      </c>
      <c r="C8" s="428" t="s">
        <v>232</v>
      </c>
      <c r="D8" s="429" t="s">
        <v>231</v>
      </c>
      <c r="E8" s="430" t="s">
        <v>230</v>
      </c>
      <c r="F8" s="431" t="s">
        <v>17</v>
      </c>
      <c r="G8" s="496">
        <f t="shared" ref="G8" si="0">IF(ISBLANK(H8),"",TRUNC(0.312*((H8/$E$3)-144)^2))</f>
        <v>728</v>
      </c>
      <c r="H8" s="488">
        <v>1.1072916666666668E-3</v>
      </c>
      <c r="I8" s="485" t="str">
        <f t="shared" ref="I8" si="1">IF(ISBLANK(H8),"",IF(H8&lt;=0.00101851851851852,"KSM",IF(H8&lt;=0.00106481481481481,"I A",IF(H8&lt;=0.00112268518518519,"II A",IF(H8&lt;=0.00119212962962963,"III A",IF(H8&lt;=0.0012962962962963,"I JA",IF(H8&lt;=0.00138888888888889,"II JA",IF(H8&lt;=0.00144675925925926,"III JA",))))))))</f>
        <v>II A</v>
      </c>
      <c r="J8" s="432" t="s">
        <v>229</v>
      </c>
    </row>
    <row r="9" spans="1:246" ht="18" customHeight="1">
      <c r="A9" s="433">
        <v>1</v>
      </c>
      <c r="B9" s="434">
        <v>391</v>
      </c>
      <c r="C9" s="435" t="s">
        <v>317</v>
      </c>
      <c r="D9" s="436" t="s">
        <v>318</v>
      </c>
      <c r="E9" s="437" t="s">
        <v>319</v>
      </c>
      <c r="F9" s="438" t="s">
        <v>17</v>
      </c>
      <c r="G9" s="497"/>
      <c r="H9" s="489"/>
      <c r="I9" s="495"/>
      <c r="J9" s="392" t="s">
        <v>320</v>
      </c>
    </row>
    <row r="10" spans="1:246" ht="18" customHeight="1">
      <c r="A10" s="433"/>
      <c r="B10" s="388">
        <v>377</v>
      </c>
      <c r="C10" s="389" t="s">
        <v>485</v>
      </c>
      <c r="D10" s="390" t="s">
        <v>486</v>
      </c>
      <c r="E10" s="420" t="s">
        <v>487</v>
      </c>
      <c r="F10" s="391" t="s">
        <v>17</v>
      </c>
      <c r="G10" s="497"/>
      <c r="H10" s="489"/>
      <c r="I10" s="495"/>
      <c r="J10" s="392" t="s">
        <v>488</v>
      </c>
    </row>
    <row r="11" spans="1:246" ht="18" customHeight="1" thickBot="1">
      <c r="A11" s="439"/>
      <c r="B11" s="440">
        <v>374</v>
      </c>
      <c r="C11" s="441" t="s">
        <v>573</v>
      </c>
      <c r="D11" s="442" t="s">
        <v>592</v>
      </c>
      <c r="E11" s="443" t="s">
        <v>593</v>
      </c>
      <c r="F11" s="400" t="s">
        <v>17</v>
      </c>
      <c r="G11" s="498"/>
      <c r="H11" s="490"/>
      <c r="I11" s="487"/>
      <c r="J11" s="401" t="s">
        <v>488</v>
      </c>
    </row>
    <row r="12" spans="1:246" ht="18" customHeight="1">
      <c r="A12" s="426"/>
      <c r="B12" s="427">
        <v>250</v>
      </c>
      <c r="C12" s="428" t="s">
        <v>542</v>
      </c>
      <c r="D12" s="429" t="s">
        <v>543</v>
      </c>
      <c r="E12" s="430" t="s">
        <v>544</v>
      </c>
      <c r="F12" s="431" t="s">
        <v>75</v>
      </c>
      <c r="G12" s="496">
        <f t="shared" ref="G12" si="2">IF(ISBLANK(H12),"",TRUNC(0.312*((H12/$E$3)-144)^2))</f>
        <v>704</v>
      </c>
      <c r="H12" s="488">
        <v>1.1166666666666666E-3</v>
      </c>
      <c r="I12" s="485" t="str">
        <f t="shared" ref="I12" si="3">IF(ISBLANK(H12),"",IF(H12&lt;=0.00101851851851852,"KSM",IF(H12&lt;=0.00106481481481481,"I A",IF(H12&lt;=0.00112268518518519,"II A",IF(H12&lt;=0.00119212962962963,"III A",IF(H12&lt;=0.0012962962962963,"I JA",IF(H12&lt;=0.00138888888888889,"II JA",IF(H12&lt;=0.00144675925925926,"III JA",))))))))</f>
        <v>II A</v>
      </c>
      <c r="J12" s="432" t="s">
        <v>545</v>
      </c>
    </row>
    <row r="13" spans="1:246" ht="18" customHeight="1">
      <c r="A13" s="433">
        <v>2</v>
      </c>
      <c r="B13" s="434">
        <v>251</v>
      </c>
      <c r="C13" s="435" t="s">
        <v>531</v>
      </c>
      <c r="D13" s="436" t="s">
        <v>532</v>
      </c>
      <c r="E13" s="437" t="s">
        <v>533</v>
      </c>
      <c r="F13" s="438" t="s">
        <v>75</v>
      </c>
      <c r="G13" s="497"/>
      <c r="H13" s="489"/>
      <c r="I13" s="495"/>
      <c r="J13" s="392" t="s">
        <v>74</v>
      </c>
    </row>
    <row r="14" spans="1:246" ht="18" customHeight="1">
      <c r="A14" s="433"/>
      <c r="B14" s="388">
        <v>246</v>
      </c>
      <c r="C14" s="389" t="s">
        <v>391</v>
      </c>
      <c r="D14" s="390" t="s">
        <v>738</v>
      </c>
      <c r="E14" s="420" t="s">
        <v>739</v>
      </c>
      <c r="F14" s="391" t="s">
        <v>75</v>
      </c>
      <c r="G14" s="497"/>
      <c r="H14" s="489"/>
      <c r="I14" s="495"/>
      <c r="J14" s="392" t="s">
        <v>725</v>
      </c>
    </row>
    <row r="15" spans="1:246" ht="18" customHeight="1" thickBot="1">
      <c r="A15" s="439"/>
      <c r="B15" s="440">
        <v>247</v>
      </c>
      <c r="C15" s="441" t="s">
        <v>711</v>
      </c>
      <c r="D15" s="442" t="s">
        <v>710</v>
      </c>
      <c r="E15" s="443" t="s">
        <v>709</v>
      </c>
      <c r="F15" s="400" t="s">
        <v>75</v>
      </c>
      <c r="G15" s="498"/>
      <c r="H15" s="490"/>
      <c r="I15" s="487"/>
      <c r="J15" s="401" t="s">
        <v>708</v>
      </c>
    </row>
    <row r="16" spans="1:246" ht="18" customHeight="1">
      <c r="A16" s="426"/>
      <c r="B16" s="427">
        <v>312</v>
      </c>
      <c r="C16" s="428" t="s">
        <v>261</v>
      </c>
      <c r="D16" s="429" t="s">
        <v>262</v>
      </c>
      <c r="E16" s="430" t="s">
        <v>263</v>
      </c>
      <c r="F16" s="431" t="s">
        <v>243</v>
      </c>
      <c r="G16" s="496">
        <f t="shared" ref="G16" si="4">IF(ISBLANK(H16),"",TRUNC(0.312*((H16/$E$3)-144)^2))</f>
        <v>698</v>
      </c>
      <c r="H16" s="488">
        <v>1.1192129629629631E-3</v>
      </c>
      <c r="I16" s="485" t="str">
        <f t="shared" ref="I16" si="5">IF(ISBLANK(H16),"",IF(H16&lt;=0.00101851851851852,"KSM",IF(H16&lt;=0.00106481481481481,"I A",IF(H16&lt;=0.00112268518518519,"II A",IF(H16&lt;=0.00119212962962963,"III A",IF(H16&lt;=0.0012962962962963,"I JA",IF(H16&lt;=0.00138888888888889,"II JA",IF(H16&lt;=0.00144675925925926,"III JA",))))))))</f>
        <v>II A</v>
      </c>
      <c r="J16" s="432" t="s">
        <v>264</v>
      </c>
    </row>
    <row r="17" spans="1:10" ht="18" customHeight="1">
      <c r="A17" s="433">
        <v>3</v>
      </c>
      <c r="B17" s="434">
        <v>308</v>
      </c>
      <c r="C17" s="435" t="s">
        <v>587</v>
      </c>
      <c r="D17" s="436" t="s">
        <v>588</v>
      </c>
      <c r="E17" s="437" t="s">
        <v>589</v>
      </c>
      <c r="F17" s="438" t="s">
        <v>243</v>
      </c>
      <c r="G17" s="497"/>
      <c r="H17" s="489"/>
      <c r="I17" s="495"/>
      <c r="J17" s="392" t="s">
        <v>590</v>
      </c>
    </row>
    <row r="18" spans="1:10" ht="18" customHeight="1">
      <c r="A18" s="433"/>
      <c r="B18" s="388">
        <v>314</v>
      </c>
      <c r="C18" s="389" t="s">
        <v>706</v>
      </c>
      <c r="D18" s="390" t="s">
        <v>705</v>
      </c>
      <c r="E18" s="420" t="s">
        <v>544</v>
      </c>
      <c r="F18" s="391" t="s">
        <v>243</v>
      </c>
      <c r="G18" s="497"/>
      <c r="H18" s="489"/>
      <c r="I18" s="495"/>
      <c r="J18" s="392" t="s">
        <v>704</v>
      </c>
    </row>
    <row r="19" spans="1:10" ht="18" customHeight="1" thickBot="1">
      <c r="A19" s="439"/>
      <c r="B19" s="440">
        <v>307</v>
      </c>
      <c r="C19" s="441" t="s">
        <v>745</v>
      </c>
      <c r="D19" s="442" t="s">
        <v>736</v>
      </c>
      <c r="E19" s="443" t="s">
        <v>737</v>
      </c>
      <c r="F19" s="400" t="s">
        <v>243</v>
      </c>
      <c r="G19" s="498"/>
      <c r="H19" s="490"/>
      <c r="I19" s="487"/>
      <c r="J19" s="401" t="s">
        <v>60</v>
      </c>
    </row>
    <row r="20" spans="1:10" ht="18" customHeight="1">
      <c r="A20" s="426"/>
      <c r="B20" s="427">
        <v>361</v>
      </c>
      <c r="C20" s="428" t="s">
        <v>326</v>
      </c>
      <c r="D20" s="429" t="s">
        <v>327</v>
      </c>
      <c r="E20" s="430" t="s">
        <v>328</v>
      </c>
      <c r="F20" s="431" t="s">
        <v>54</v>
      </c>
      <c r="G20" s="496">
        <f t="shared" ref="G20" si="6">IF(ISBLANK(H20),"",TRUNC(0.312*((H20/$E$3)-144)^2))</f>
        <v>647</v>
      </c>
      <c r="H20" s="488">
        <v>1.139236111111111E-3</v>
      </c>
      <c r="I20" s="485" t="str">
        <f t="shared" ref="I20" si="7">IF(ISBLANK(H20),"",IF(H20&lt;=0.00101851851851852,"KSM",IF(H20&lt;=0.00106481481481481,"I A",IF(H20&lt;=0.00112268518518519,"II A",IF(H20&lt;=0.00119212962962963,"III A",IF(H20&lt;=0.0012962962962963,"I JA",IF(H20&lt;=0.00138888888888889,"II JA",IF(H20&lt;=0.00144675925925926,"III JA",))))))))</f>
        <v>III A</v>
      </c>
      <c r="J20" s="432" t="s">
        <v>329</v>
      </c>
    </row>
    <row r="21" spans="1:10" ht="18" customHeight="1">
      <c r="A21" s="433">
        <v>4</v>
      </c>
      <c r="B21" s="434">
        <v>351</v>
      </c>
      <c r="C21" s="435" t="s">
        <v>341</v>
      </c>
      <c r="D21" s="436" t="s">
        <v>342</v>
      </c>
      <c r="E21" s="437" t="s">
        <v>343</v>
      </c>
      <c r="F21" s="438" t="s">
        <v>54</v>
      </c>
      <c r="G21" s="497"/>
      <c r="H21" s="489"/>
      <c r="I21" s="495"/>
      <c r="J21" s="392" t="s">
        <v>344</v>
      </c>
    </row>
    <row r="22" spans="1:10" ht="18" customHeight="1">
      <c r="A22" s="433"/>
      <c r="B22" s="388">
        <v>346</v>
      </c>
      <c r="C22" s="389" t="s">
        <v>354</v>
      </c>
      <c r="D22" s="390" t="s">
        <v>355</v>
      </c>
      <c r="E22" s="420" t="s">
        <v>356</v>
      </c>
      <c r="F22" s="391" t="s">
        <v>54</v>
      </c>
      <c r="G22" s="497"/>
      <c r="H22" s="489"/>
      <c r="I22" s="495"/>
      <c r="J22" s="392" t="s">
        <v>344</v>
      </c>
    </row>
    <row r="23" spans="1:10" ht="18" customHeight="1" thickBot="1">
      <c r="A23" s="439"/>
      <c r="B23" s="440">
        <v>343</v>
      </c>
      <c r="C23" s="441" t="s">
        <v>345</v>
      </c>
      <c r="D23" s="442" t="s">
        <v>346</v>
      </c>
      <c r="E23" s="443" t="s">
        <v>347</v>
      </c>
      <c r="F23" s="400" t="s">
        <v>54</v>
      </c>
      <c r="G23" s="498"/>
      <c r="H23" s="490"/>
      <c r="I23" s="487"/>
      <c r="J23" s="401" t="s">
        <v>132</v>
      </c>
    </row>
  </sheetData>
  <mergeCells count="12">
    <mergeCell ref="G20:G23"/>
    <mergeCell ref="I20:I23"/>
    <mergeCell ref="H8:H11"/>
    <mergeCell ref="H12:H15"/>
    <mergeCell ref="H16:H19"/>
    <mergeCell ref="H20:H23"/>
    <mergeCell ref="G8:G11"/>
    <mergeCell ref="I8:I11"/>
    <mergeCell ref="G12:G15"/>
    <mergeCell ref="I12:I15"/>
    <mergeCell ref="G16:G19"/>
    <mergeCell ref="I16:I19"/>
  </mergeCells>
  <printOptions horizontalCentered="1"/>
  <pageMargins left="0.39370078740157483" right="0.39370078740157483" top="0.19685039370078741" bottom="0.19685039370078741" header="0.39370078740157483" footer="0.39370078740157483"/>
  <pageSetup paperSize="9" scale="9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N11"/>
  <sheetViews>
    <sheetView zoomScaleNormal="100" workbookViewId="0">
      <selection activeCell="A2" sqref="A2"/>
    </sheetView>
  </sheetViews>
  <sheetFormatPr defaultColWidth="9.140625" defaultRowHeight="12.75"/>
  <cols>
    <col min="1" max="1" width="5.285156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6" bestFit="1" customWidth="1"/>
    <col min="9" max="9" width="8.42578125" style="23" customWidth="1"/>
    <col min="10" max="10" width="5.140625" style="24" customWidth="1"/>
    <col min="11" max="11" width="24.5703125" style="18" customWidth="1"/>
    <col min="12" max="247" width="9.140625" style="18"/>
    <col min="248" max="16384" width="9.140625" style="7"/>
  </cols>
  <sheetData>
    <row r="1" spans="1:248" s="2" customFormat="1" ht="18.75">
      <c r="A1" s="1" t="s">
        <v>0</v>
      </c>
      <c r="E1" s="3"/>
      <c r="F1" s="4"/>
      <c r="G1" s="5"/>
      <c r="H1" s="6"/>
      <c r="I1" s="6"/>
      <c r="J1" s="3"/>
      <c r="IN1" s="7"/>
    </row>
    <row r="2" spans="1:248" s="2" customFormat="1" ht="13.5" customHeight="1">
      <c r="E2" s="3"/>
      <c r="F2" s="4"/>
      <c r="G2" s="5"/>
      <c r="H2" s="6"/>
      <c r="I2" s="6"/>
      <c r="J2" s="3"/>
      <c r="K2" s="8" t="s">
        <v>1</v>
      </c>
      <c r="IN2" s="7"/>
    </row>
    <row r="3" spans="1:248" s="9" customFormat="1" ht="4.5" customHeight="1">
      <c r="C3" s="10"/>
      <c r="E3" s="11">
        <v>1.1574074074074073E-5</v>
      </c>
      <c r="F3" s="12"/>
      <c r="G3" s="13"/>
      <c r="H3" s="14"/>
      <c r="I3" s="15"/>
      <c r="J3" s="16"/>
      <c r="K3" s="17"/>
    </row>
    <row r="4" spans="1:248" ht="15.75">
      <c r="C4" s="19" t="s">
        <v>2</v>
      </c>
      <c r="E4" s="20"/>
      <c r="F4" s="21"/>
      <c r="K4" s="25" t="s">
        <v>3</v>
      </c>
    </row>
    <row r="5" spans="1:248" s="9" customFormat="1" ht="4.5" customHeight="1">
      <c r="C5" s="10"/>
      <c r="E5" s="26"/>
      <c r="F5" s="12"/>
      <c r="G5" s="13"/>
      <c r="H5" s="14"/>
      <c r="I5" s="15"/>
      <c r="J5" s="16"/>
      <c r="K5" s="17"/>
    </row>
    <row r="6" spans="1:248" s="9" customFormat="1" ht="12.75" customHeight="1">
      <c r="C6" s="18"/>
      <c r="D6" s="27"/>
      <c r="E6" s="28"/>
      <c r="F6" s="29"/>
      <c r="G6" s="13"/>
      <c r="H6" s="14"/>
      <c r="I6" s="15"/>
      <c r="J6" s="16"/>
      <c r="K6" s="17"/>
    </row>
    <row r="7" spans="1:248" s="9" customFormat="1" ht="6" customHeight="1">
      <c r="E7" s="30"/>
      <c r="F7" s="31"/>
      <c r="G7" s="13"/>
      <c r="H7" s="32"/>
      <c r="I7" s="15"/>
      <c r="J7" s="16"/>
      <c r="K7" s="17"/>
    </row>
    <row r="8" spans="1:248" ht="12.6" customHeight="1">
      <c r="A8" s="33" t="s">
        <v>29</v>
      </c>
      <c r="B8" s="34" t="s">
        <v>4</v>
      </c>
      <c r="C8" s="35" t="s">
        <v>5</v>
      </c>
      <c r="D8" s="36" t="s">
        <v>6</v>
      </c>
      <c r="E8" s="37" t="s">
        <v>7</v>
      </c>
      <c r="F8" s="38" t="s">
        <v>8</v>
      </c>
      <c r="G8" s="39" t="s">
        <v>9</v>
      </c>
      <c r="H8" s="40" t="s">
        <v>10</v>
      </c>
      <c r="I8" s="41" t="s">
        <v>11</v>
      </c>
      <c r="J8" s="42" t="s">
        <v>12</v>
      </c>
      <c r="K8" s="33" t="s">
        <v>13</v>
      </c>
    </row>
    <row r="9" spans="1:248" s="54" customFormat="1" ht="16.350000000000001" customHeight="1">
      <c r="A9" s="43">
        <v>1</v>
      </c>
      <c r="B9" s="44">
        <v>384</v>
      </c>
      <c r="C9" s="45" t="s">
        <v>25</v>
      </c>
      <c r="D9" s="46" t="s">
        <v>26</v>
      </c>
      <c r="E9" s="47" t="s">
        <v>27</v>
      </c>
      <c r="F9" s="48" t="s">
        <v>17</v>
      </c>
      <c r="G9" s="49">
        <f>IF(ISBLANK(H9),"",TRUNC(0.000525*((H9/$E$3)-2220)^2))</f>
        <v>924</v>
      </c>
      <c r="H9" s="50">
        <v>1.0331828703703704E-2</v>
      </c>
      <c r="I9" s="41"/>
      <c r="J9" s="51" t="str">
        <f>IF(ISBLANK(H9),"",IF(H9&gt;0.0125,"",IF(H9&lt;=0.00943287037037037,"SM",IF(H9&lt;=0.0102430555555556,"KSM",IF(H9&lt;=0.0107060185185185,"I A",IF(H9&lt;=0.0115162037037037,"II A",IF(H9&lt;=0.0125,"III A")))))))</f>
        <v>I A</v>
      </c>
      <c r="K9" s="52" t="s">
        <v>28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</row>
    <row r="10" spans="1:248" s="54" customFormat="1" ht="16.350000000000001" customHeight="1">
      <c r="A10" s="43">
        <v>2</v>
      </c>
      <c r="B10" s="44">
        <v>380</v>
      </c>
      <c r="C10" s="45" t="s">
        <v>14</v>
      </c>
      <c r="D10" s="46" t="s">
        <v>15</v>
      </c>
      <c r="E10" s="47" t="s">
        <v>16</v>
      </c>
      <c r="F10" s="48" t="s">
        <v>17</v>
      </c>
      <c r="G10" s="49">
        <f>IF(ISBLANK(H10),"",TRUNC(0.000525*((H10/$E$3)-2220)^2))</f>
        <v>717</v>
      </c>
      <c r="H10" s="50">
        <v>1.2167939814814815E-2</v>
      </c>
      <c r="I10" s="41"/>
      <c r="J10" s="51" t="str">
        <f>IF(ISBLANK(H10),"",IF(H10&gt;0.0125,"",IF(H10&lt;=0.00943287037037037,"SM",IF(H10&lt;=0.0102430555555556,"KSM",IF(H10&lt;=0.0107060185185185,"I A",IF(H10&lt;=0.0115162037037037,"II A",IF(H10&lt;=0.0125,"III A")))))))</f>
        <v>III A</v>
      </c>
      <c r="K10" s="52" t="s">
        <v>18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</row>
    <row r="11" spans="1:248" s="54" customFormat="1" ht="16.350000000000001" customHeight="1">
      <c r="A11" s="43"/>
      <c r="B11" s="44">
        <v>316</v>
      </c>
      <c r="C11" s="45" t="s">
        <v>19</v>
      </c>
      <c r="D11" s="46" t="s">
        <v>20</v>
      </c>
      <c r="E11" s="47" t="s">
        <v>21</v>
      </c>
      <c r="F11" s="48" t="s">
        <v>22</v>
      </c>
      <c r="G11" s="49" t="s">
        <v>23</v>
      </c>
      <c r="H11" s="50" t="s">
        <v>30</v>
      </c>
      <c r="I11" s="41"/>
      <c r="J11" s="51" t="str">
        <f>IF(ISBLANK(H11),"",IF(H11&gt;0.0125,"",IF(H11&lt;=0.00943287037037037,"SM",IF(H11&lt;=0.0102430555555556,"KSM",IF(H11&lt;=0.0107060185185185,"I A",IF(H11&lt;=0.0115162037037037,"II A",IF(H11&lt;=0.0125,"III A")))))))</f>
        <v/>
      </c>
      <c r="K11" s="52" t="s">
        <v>24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</row>
  </sheetData>
  <sortState ref="A9:IN10">
    <sortCondition ref="A9"/>
  </sortState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3"/>
  <sheetViews>
    <sheetView zoomScaleNormal="100" workbookViewId="0">
      <selection activeCell="A2" sqref="A2"/>
    </sheetView>
  </sheetViews>
  <sheetFormatPr defaultColWidth="11.42578125" defaultRowHeight="12.75"/>
  <cols>
    <col min="1" max="1" width="4.28515625" style="215" customWidth="1"/>
    <col min="2" max="2" width="4.42578125" style="215" customWidth="1"/>
    <col min="3" max="3" width="9.85546875" style="215" customWidth="1"/>
    <col min="4" max="4" width="13" style="215" customWidth="1"/>
    <col min="5" max="5" width="9.28515625" style="215" customWidth="1"/>
    <col min="6" max="6" width="8.140625" style="215" customWidth="1"/>
    <col min="7" max="7" width="6" style="215" customWidth="1"/>
    <col min="8" max="15" width="4.42578125" style="215" customWidth="1"/>
    <col min="16" max="16" width="7.28515625" style="215" customWidth="1"/>
    <col min="17" max="17" width="4.42578125" style="215" bestFit="1" customWidth="1"/>
    <col min="18" max="18" width="17.28515625" style="222" customWidth="1"/>
    <col min="19" max="19" width="4" style="215" customWidth="1"/>
    <col min="20" max="16384" width="11.42578125" style="215"/>
  </cols>
  <sheetData>
    <row r="1" spans="1:20" s="213" customFormat="1" ht="15" customHeight="1">
      <c r="A1" s="210" t="s">
        <v>0</v>
      </c>
      <c r="B1" s="211"/>
      <c r="C1" s="212"/>
      <c r="D1" s="211"/>
      <c r="H1" s="214"/>
      <c r="I1" s="214"/>
      <c r="J1" s="214"/>
      <c r="K1" s="214"/>
      <c r="L1" s="214"/>
      <c r="M1" s="214"/>
      <c r="N1" s="214"/>
      <c r="O1" s="214"/>
    </row>
    <row r="2" spans="1:20" ht="15" customHeight="1">
      <c r="C2" s="216"/>
      <c r="R2" s="8" t="s">
        <v>1</v>
      </c>
    </row>
    <row r="3" spans="1:20" s="106" customFormat="1" ht="15" customHeight="1">
      <c r="C3" s="210"/>
      <c r="G3" s="217"/>
      <c r="H3" s="215"/>
      <c r="I3" s="215"/>
      <c r="J3" s="215"/>
      <c r="K3" s="215"/>
      <c r="L3" s="215"/>
      <c r="M3" s="215"/>
      <c r="N3" s="215"/>
      <c r="O3" s="215"/>
      <c r="R3" s="25" t="s">
        <v>3</v>
      </c>
    </row>
    <row r="4" spans="1:20" s="106" customFormat="1" ht="15" customHeight="1">
      <c r="C4" s="216" t="s">
        <v>624</v>
      </c>
      <c r="E4" s="213"/>
      <c r="G4" s="218"/>
      <c r="H4" s="215"/>
      <c r="I4" s="215"/>
      <c r="J4" s="215"/>
      <c r="K4" s="215"/>
      <c r="L4" s="215"/>
      <c r="M4" s="215"/>
      <c r="N4" s="215"/>
      <c r="O4" s="215"/>
      <c r="R4" s="219"/>
    </row>
    <row r="5" spans="1:20" s="220" customFormat="1" ht="2.1" customHeight="1">
      <c r="T5" s="221"/>
    </row>
    <row r="6" spans="1:20" s="220" customFormat="1" ht="2.1" customHeight="1">
      <c r="T6" s="221"/>
    </row>
    <row r="7" spans="1:20" ht="15" customHeight="1">
      <c r="C7" s="212"/>
      <c r="H7" s="499" t="s">
        <v>285</v>
      </c>
      <c r="I7" s="500"/>
      <c r="J7" s="500"/>
      <c r="K7" s="500"/>
      <c r="L7" s="500"/>
      <c r="M7" s="500"/>
      <c r="N7" s="500"/>
      <c r="O7" s="501"/>
    </row>
    <row r="8" spans="1:20" ht="24" customHeight="1">
      <c r="A8" s="223" t="s">
        <v>29</v>
      </c>
      <c r="B8" s="224" t="s">
        <v>4</v>
      </c>
      <c r="C8" s="225" t="s">
        <v>5</v>
      </c>
      <c r="D8" s="226" t="s">
        <v>6</v>
      </c>
      <c r="E8" s="227" t="s">
        <v>7</v>
      </c>
      <c r="F8" s="228" t="s">
        <v>8</v>
      </c>
      <c r="G8" s="223" t="s">
        <v>9</v>
      </c>
      <c r="H8" s="230">
        <v>1.4</v>
      </c>
      <c r="I8" s="230">
        <v>1.45</v>
      </c>
      <c r="J8" s="230">
        <v>1.5</v>
      </c>
      <c r="K8" s="230">
        <v>1.55</v>
      </c>
      <c r="L8" s="230">
        <v>1.6</v>
      </c>
      <c r="M8" s="230">
        <v>1.65</v>
      </c>
      <c r="N8" s="230">
        <v>1.65</v>
      </c>
      <c r="O8" s="230"/>
      <c r="P8" s="223" t="s">
        <v>286</v>
      </c>
      <c r="Q8" s="228" t="s">
        <v>35</v>
      </c>
      <c r="R8" s="231" t="s">
        <v>13</v>
      </c>
      <c r="S8" s="232"/>
    </row>
    <row r="9" spans="1:20" ht="23.25" customHeight="1">
      <c r="A9" s="85">
        <v>1</v>
      </c>
      <c r="B9" s="233">
        <v>254</v>
      </c>
      <c r="C9" s="234" t="s">
        <v>625</v>
      </c>
      <c r="D9" s="235" t="s">
        <v>85</v>
      </c>
      <c r="E9" s="236" t="s">
        <v>84</v>
      </c>
      <c r="F9" s="237" t="s">
        <v>75</v>
      </c>
      <c r="G9" s="238">
        <f>IF(ISBLANK(P9),"",TRUNC(39.34*(P9+10.574)^2)-5000)</f>
        <v>878</v>
      </c>
      <c r="H9" s="117"/>
      <c r="I9" s="117">
        <v>0</v>
      </c>
      <c r="J9" s="117">
        <v>0</v>
      </c>
      <c r="K9" s="117">
        <v>0</v>
      </c>
      <c r="L9" s="117" t="s">
        <v>290</v>
      </c>
      <c r="M9" s="117" t="s">
        <v>291</v>
      </c>
      <c r="N9" s="117">
        <v>0</v>
      </c>
      <c r="O9" s="117"/>
      <c r="P9" s="239">
        <v>1.65</v>
      </c>
      <c r="Q9" s="310" t="str">
        <f>IF(ISBLANK(P9),"",IF(P9&lt;1.39,"",IF(P9&gt;=1.91,"TSM",IF(P9&gt;=1.83,"SM",IF(P9&gt;=1.75,"KSM",IF(P9&gt;=1.65,"I A",IF(P9&gt;=1.5,"II A",IF(P9&gt;=1.39,"III A"))))))))</f>
        <v>I A</v>
      </c>
      <c r="R9" s="237" t="s">
        <v>83</v>
      </c>
      <c r="S9" s="240"/>
    </row>
    <row r="10" spans="1:20" ht="23.25" customHeight="1">
      <c r="A10" s="85">
        <v>2</v>
      </c>
      <c r="B10" s="233">
        <v>399</v>
      </c>
      <c r="C10" s="234" t="s">
        <v>626</v>
      </c>
      <c r="D10" s="235" t="s">
        <v>627</v>
      </c>
      <c r="E10" s="236" t="s">
        <v>628</v>
      </c>
      <c r="F10" s="237" t="s">
        <v>629</v>
      </c>
      <c r="G10" s="238" t="s">
        <v>630</v>
      </c>
      <c r="H10" s="117"/>
      <c r="I10" s="117">
        <v>0</v>
      </c>
      <c r="J10" s="117">
        <v>0</v>
      </c>
      <c r="K10" s="117">
        <v>0</v>
      </c>
      <c r="L10" s="117" t="s">
        <v>290</v>
      </c>
      <c r="M10" s="117" t="s">
        <v>291</v>
      </c>
      <c r="N10" s="117" t="s">
        <v>39</v>
      </c>
      <c r="O10" s="117"/>
      <c r="P10" s="239">
        <v>1.6</v>
      </c>
      <c r="Q10" s="310" t="str">
        <f>IF(ISBLANK(P10),"",IF(P10&lt;1.39,"",IF(P10&gt;=1.91,"TSM",IF(P10&gt;=1.83,"SM",IF(P10&gt;=1.75,"KSM",IF(P10&gt;=1.65,"I A",IF(P10&gt;=1.5,"II A",IF(P10&gt;=1.39,"III A"))))))))</f>
        <v>II A</v>
      </c>
      <c r="R10" s="237" t="s">
        <v>631</v>
      </c>
      <c r="S10" s="240"/>
    </row>
    <row r="11" spans="1:20" ht="23.25" customHeight="1">
      <c r="A11" s="85">
        <v>3</v>
      </c>
      <c r="B11" s="233">
        <v>240</v>
      </c>
      <c r="C11" s="234" t="s">
        <v>41</v>
      </c>
      <c r="D11" s="235" t="s">
        <v>632</v>
      </c>
      <c r="E11" s="236" t="s">
        <v>633</v>
      </c>
      <c r="F11" s="237" t="s">
        <v>44</v>
      </c>
      <c r="G11" s="238">
        <f>IF(ISBLANK(P11),"",TRUNC(39.34*(P11+10.574)^2)-5000)</f>
        <v>735</v>
      </c>
      <c r="H11" s="117">
        <v>0</v>
      </c>
      <c r="I11" s="117">
        <v>0</v>
      </c>
      <c r="J11" s="117" t="s">
        <v>297</v>
      </c>
      <c r="K11" s="117" t="s">
        <v>291</v>
      </c>
      <c r="L11" s="117"/>
      <c r="M11" s="117"/>
      <c r="N11" s="117"/>
      <c r="O11" s="117"/>
      <c r="P11" s="239">
        <v>1.5</v>
      </c>
      <c r="Q11" s="310" t="str">
        <f>IF(ISBLANK(P11),"",IF(P11&lt;1.39,"",IF(P11&gt;=1.91,"TSM",IF(P11&gt;=1.83,"SM",IF(P11&gt;=1.75,"KSM",IF(P11&gt;=1.65,"I A",IF(P11&gt;=1.5,"II A",IF(P11&gt;=1.39,"III A"))))))))</f>
        <v>II A</v>
      </c>
      <c r="R11" s="237" t="s">
        <v>634</v>
      </c>
      <c r="S11" s="240"/>
    </row>
    <row r="12" spans="1:20" ht="23.25" customHeight="1">
      <c r="A12" s="85">
        <v>4</v>
      </c>
      <c r="B12" s="233">
        <v>368</v>
      </c>
      <c r="C12" s="234" t="s">
        <v>635</v>
      </c>
      <c r="D12" s="235" t="s">
        <v>636</v>
      </c>
      <c r="E12" s="236" t="s">
        <v>637</v>
      </c>
      <c r="F12" s="237" t="s">
        <v>184</v>
      </c>
      <c r="G12" s="238">
        <f>IF(ISBLANK(P12),"",TRUNC(39.34*(P12+10.574)^2)-5000)</f>
        <v>640</v>
      </c>
      <c r="H12" s="117">
        <v>0</v>
      </c>
      <c r="I12" s="117" t="s">
        <v>291</v>
      </c>
      <c r="J12" s="117"/>
      <c r="K12" s="117"/>
      <c r="L12" s="117"/>
      <c r="M12" s="117"/>
      <c r="N12" s="117"/>
      <c r="O12" s="117"/>
      <c r="P12" s="239">
        <v>1.4</v>
      </c>
      <c r="Q12" s="310" t="str">
        <f>IF(ISBLANK(P12),"",IF(P12&lt;1.39,"",IF(P12&gt;=1.91,"TSM",IF(P12&gt;=1.83,"SM",IF(P12&gt;=1.75,"KSM",IF(P12&gt;=1.65,"I A",IF(P12&gt;=1.5,"II A",IF(P12&gt;=1.39,"III A"))))))))</f>
        <v>III A</v>
      </c>
      <c r="R12" s="237" t="s">
        <v>127</v>
      </c>
      <c r="S12" s="240"/>
    </row>
    <row r="13" spans="1:20" ht="23.25" customHeight="1">
      <c r="A13" s="85"/>
      <c r="B13" s="233">
        <v>324</v>
      </c>
      <c r="C13" s="234" t="s">
        <v>157</v>
      </c>
      <c r="D13" s="235" t="s">
        <v>158</v>
      </c>
      <c r="E13" s="236" t="s">
        <v>159</v>
      </c>
      <c r="F13" s="237" t="s">
        <v>22</v>
      </c>
      <c r="G13" s="238" t="s">
        <v>23</v>
      </c>
      <c r="H13" s="117"/>
      <c r="I13" s="117"/>
      <c r="J13" s="117"/>
      <c r="K13" s="117"/>
      <c r="L13" s="117"/>
      <c r="M13" s="117"/>
      <c r="N13" s="117"/>
      <c r="O13" s="117"/>
      <c r="P13" s="239" t="s">
        <v>30</v>
      </c>
      <c r="Q13" s="310"/>
      <c r="R13" s="237" t="s">
        <v>160</v>
      </c>
      <c r="S13" s="240"/>
    </row>
  </sheetData>
  <mergeCells count="1">
    <mergeCell ref="H7:O7"/>
  </mergeCells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4"/>
  <sheetViews>
    <sheetView zoomScaleNormal="100" workbookViewId="0">
      <selection activeCell="E17" sqref="E17"/>
    </sheetView>
  </sheetViews>
  <sheetFormatPr defaultColWidth="11.42578125" defaultRowHeight="12.75"/>
  <cols>
    <col min="1" max="1" width="4.28515625" style="220" customWidth="1"/>
    <col min="2" max="2" width="4.42578125" style="220" customWidth="1"/>
    <col min="3" max="3" width="9.85546875" style="220" customWidth="1"/>
    <col min="4" max="4" width="13" style="220" customWidth="1"/>
    <col min="5" max="5" width="10.85546875" style="220" customWidth="1"/>
    <col min="6" max="6" width="7.28515625" style="220" customWidth="1"/>
    <col min="7" max="7" width="5.140625" style="220" customWidth="1"/>
    <col min="8" max="15" width="4.7109375" style="220" customWidth="1"/>
    <col min="16" max="16" width="7.28515625" style="220" customWidth="1"/>
    <col min="17" max="17" width="6.42578125" style="220" customWidth="1"/>
    <col min="18" max="18" width="18.7109375" style="221" customWidth="1"/>
    <col min="19" max="19" width="3.42578125" style="220" customWidth="1"/>
    <col min="20" max="16384" width="11.42578125" style="220"/>
  </cols>
  <sheetData>
    <row r="1" spans="1:20" s="345" customFormat="1" ht="20.25">
      <c r="A1" s="342" t="s">
        <v>0</v>
      </c>
      <c r="B1" s="343"/>
      <c r="C1" s="344"/>
      <c r="D1" s="343"/>
      <c r="H1" s="346"/>
      <c r="I1" s="346"/>
      <c r="J1" s="346"/>
      <c r="K1" s="346"/>
      <c r="L1" s="346"/>
      <c r="M1" s="346"/>
      <c r="N1" s="346"/>
      <c r="O1" s="346"/>
    </row>
    <row r="2" spans="1:20" ht="15.75">
      <c r="C2" s="347"/>
      <c r="R2" s="8" t="s">
        <v>1</v>
      </c>
    </row>
    <row r="3" spans="1:20" s="348" customFormat="1" ht="15.75">
      <c r="C3" s="342"/>
      <c r="G3" s="349"/>
      <c r="H3" s="220"/>
      <c r="I3" s="220"/>
      <c r="J3" s="220"/>
      <c r="K3" s="220"/>
      <c r="L3" s="220"/>
      <c r="M3" s="220"/>
      <c r="N3" s="220"/>
      <c r="O3" s="220"/>
      <c r="R3" s="25" t="s">
        <v>3</v>
      </c>
    </row>
    <row r="4" spans="1:20" s="348" customFormat="1" ht="15.75">
      <c r="C4" s="347" t="s">
        <v>713</v>
      </c>
      <c r="E4" s="345"/>
      <c r="G4" s="350"/>
      <c r="H4" s="220"/>
      <c r="I4" s="220"/>
      <c r="J4" s="220"/>
      <c r="K4" s="220"/>
      <c r="L4" s="220"/>
      <c r="M4" s="220"/>
      <c r="N4" s="220"/>
      <c r="O4" s="220"/>
      <c r="R4" s="351"/>
    </row>
    <row r="5" spans="1:20" ht="2.1" customHeight="1">
      <c r="R5" s="220"/>
      <c r="T5" s="221"/>
    </row>
    <row r="6" spans="1:20" ht="2.1" customHeight="1">
      <c r="R6" s="220"/>
      <c r="T6" s="221"/>
    </row>
    <row r="7" spans="1:20" ht="11.25" customHeight="1">
      <c r="C7" s="344"/>
      <c r="H7" s="352"/>
      <c r="I7" s="353"/>
      <c r="J7" s="353"/>
      <c r="K7" s="353"/>
      <c r="L7" s="353"/>
      <c r="M7" s="353" t="s">
        <v>285</v>
      </c>
      <c r="N7" s="353"/>
      <c r="O7" s="354"/>
    </row>
    <row r="8" spans="1:20" s="360" customFormat="1" ht="17.25" customHeight="1">
      <c r="A8" s="355" t="s">
        <v>29</v>
      </c>
      <c r="B8" s="356" t="s">
        <v>4</v>
      </c>
      <c r="C8" s="357" t="s">
        <v>5</v>
      </c>
      <c r="D8" s="358" t="s">
        <v>6</v>
      </c>
      <c r="E8" s="355" t="s">
        <v>7</v>
      </c>
      <c r="F8" s="356" t="s">
        <v>8</v>
      </c>
      <c r="G8" s="355" t="s">
        <v>9</v>
      </c>
      <c r="H8" s="230">
        <v>1.85</v>
      </c>
      <c r="I8" s="230">
        <v>1.9</v>
      </c>
      <c r="J8" s="230">
        <v>1.95</v>
      </c>
      <c r="K8" s="230">
        <v>2</v>
      </c>
      <c r="L8" s="230">
        <v>2.04</v>
      </c>
      <c r="M8" s="230">
        <v>2.08</v>
      </c>
      <c r="N8" s="230">
        <v>2.12</v>
      </c>
      <c r="O8" s="230"/>
      <c r="P8" s="355" t="s">
        <v>286</v>
      </c>
      <c r="Q8" s="356" t="s">
        <v>35</v>
      </c>
      <c r="R8" s="359" t="s">
        <v>13</v>
      </c>
    </row>
    <row r="9" spans="1:20" ht="23.25" customHeight="1">
      <c r="A9" s="85">
        <v>1</v>
      </c>
      <c r="B9" s="361">
        <v>383</v>
      </c>
      <c r="C9" s="362" t="s">
        <v>714</v>
      </c>
      <c r="D9" s="363" t="s">
        <v>715</v>
      </c>
      <c r="E9" s="364" t="s">
        <v>716</v>
      </c>
      <c r="F9" s="365" t="s">
        <v>17</v>
      </c>
      <c r="G9" s="366">
        <f>IF(ISBLANK(P9),"",TRUNC(32.29*(P9+11.534)^2)-5000)</f>
        <v>984</v>
      </c>
      <c r="H9" s="361"/>
      <c r="I9" s="361">
        <v>0</v>
      </c>
      <c r="J9" s="361">
        <v>0</v>
      </c>
      <c r="K9" s="361">
        <v>0</v>
      </c>
      <c r="L9" s="361">
        <v>0</v>
      </c>
      <c r="M9" s="361" t="s">
        <v>297</v>
      </c>
      <c r="N9" s="361" t="s">
        <v>291</v>
      </c>
      <c r="O9" s="361"/>
      <c r="P9" s="367">
        <v>2.08</v>
      </c>
      <c r="Q9" s="366" t="str">
        <f>IF(ISBLANK(P9),"",IF(P9&lt;1.6,"",IF(P9&gt;=2.28,"TSM",IF(P9&gt;=2.15,"SM",IF(P9&gt;=2.03,"KSM",IF(P9&gt;=1.9,"I A",IF(P9&gt;=1.75,"II A",IF(P9&gt;=1.6,"III A"))))))))</f>
        <v>KSM</v>
      </c>
      <c r="R9" s="365" t="s">
        <v>717</v>
      </c>
      <c r="S9" s="368"/>
    </row>
    <row r="10" spans="1:20" ht="23.25" customHeight="1">
      <c r="A10" s="85">
        <v>2</v>
      </c>
      <c r="B10" s="361">
        <v>245</v>
      </c>
      <c r="C10" s="362" t="s">
        <v>722</v>
      </c>
      <c r="D10" s="363" t="s">
        <v>723</v>
      </c>
      <c r="E10" s="364" t="s">
        <v>724</v>
      </c>
      <c r="F10" s="365" t="s">
        <v>75</v>
      </c>
      <c r="G10" s="366">
        <f>IF(ISBLANK(P10),"",TRUNC(32.29*(P10+11.534)^2)-5000)</f>
        <v>914</v>
      </c>
      <c r="H10" s="361">
        <v>0</v>
      </c>
      <c r="I10" s="361">
        <v>0</v>
      </c>
      <c r="J10" s="361">
        <v>0</v>
      </c>
      <c r="K10" s="361" t="s">
        <v>290</v>
      </c>
      <c r="L10" s="361" t="s">
        <v>291</v>
      </c>
      <c r="M10" s="361"/>
      <c r="N10" s="361"/>
      <c r="O10" s="361"/>
      <c r="P10" s="367">
        <v>2</v>
      </c>
      <c r="Q10" s="366" t="str">
        <f>IF(ISBLANK(P10),"",IF(P10&lt;1.6,"",IF(P10&gt;=2.28,"TSM",IF(P10&gt;=2.15,"SM",IF(P10&gt;=2.03,"KSM",IF(P10&gt;=1.9,"I A",IF(P10&gt;=1.75,"II A",IF(P10&gt;=1.6,"III A"))))))))</f>
        <v>I A</v>
      </c>
      <c r="R10" s="365" t="s">
        <v>725</v>
      </c>
      <c r="S10" s="368"/>
    </row>
    <row r="11" spans="1:20" ht="23.25" customHeight="1">
      <c r="A11" s="85">
        <v>3</v>
      </c>
      <c r="B11" s="361">
        <v>386</v>
      </c>
      <c r="C11" s="362" t="s">
        <v>726</v>
      </c>
      <c r="D11" s="363" t="s">
        <v>727</v>
      </c>
      <c r="E11" s="364" t="s">
        <v>728</v>
      </c>
      <c r="F11" s="365" t="s">
        <v>17</v>
      </c>
      <c r="G11" s="366">
        <f>IF(ISBLANK(P11),"",TRUNC(32.29*(P11+11.534)^2)-5000)</f>
        <v>827</v>
      </c>
      <c r="H11" s="361">
        <v>0</v>
      </c>
      <c r="I11" s="361" t="s">
        <v>297</v>
      </c>
      <c r="J11" s="361" t="s">
        <v>291</v>
      </c>
      <c r="K11" s="361"/>
      <c r="L11" s="361"/>
      <c r="M11" s="361"/>
      <c r="N11" s="361"/>
      <c r="O11" s="361"/>
      <c r="P11" s="367">
        <v>1.9</v>
      </c>
      <c r="Q11" s="366" t="str">
        <f>IF(ISBLANK(P11),"",IF(P11&lt;1.6,"",IF(P11&gt;=2.28,"TSM",IF(P11&gt;=2.15,"SM",IF(P11&gt;=2.03,"KSM",IF(P11&gt;=1.9,"I A",IF(P11&gt;=1.75,"II A",IF(P11&gt;=1.6,"III A"))))))))</f>
        <v>I A</v>
      </c>
      <c r="R11" s="365" t="s">
        <v>729</v>
      </c>
      <c r="S11" s="368"/>
    </row>
    <row r="12" spans="1:20" ht="23.25" customHeight="1">
      <c r="A12" s="85">
        <v>4</v>
      </c>
      <c r="B12" s="361">
        <v>282</v>
      </c>
      <c r="C12" s="362" t="s">
        <v>730</v>
      </c>
      <c r="D12" s="363" t="s">
        <v>731</v>
      </c>
      <c r="E12" s="364" t="s">
        <v>732</v>
      </c>
      <c r="F12" s="365" t="s">
        <v>49</v>
      </c>
      <c r="G12" s="366">
        <f>IF(ISBLANK(P12),"",TRUNC(32.29*(P12+11.534)^2)-5000)</f>
        <v>784</v>
      </c>
      <c r="H12" s="361" t="s">
        <v>290</v>
      </c>
      <c r="I12" s="361" t="s">
        <v>291</v>
      </c>
      <c r="J12" s="361"/>
      <c r="K12" s="361"/>
      <c r="L12" s="361"/>
      <c r="M12" s="361"/>
      <c r="N12" s="361"/>
      <c r="O12" s="361"/>
      <c r="P12" s="367">
        <v>1.85</v>
      </c>
      <c r="Q12" s="366" t="str">
        <f>IF(ISBLANK(P12),"",IF(P12&lt;1.6,"",IF(P12&gt;=2.28,"TSM",IF(P12&gt;=2.15,"SM",IF(P12&gt;=2.03,"KSM",IF(P12&gt;=1.9,"I A",IF(P12&gt;=1.75,"II A",IF(P12&gt;=1.6,"III A"))))))))</f>
        <v>II A</v>
      </c>
      <c r="R12" s="365" t="s">
        <v>50</v>
      </c>
      <c r="S12" s="368"/>
    </row>
    <row r="13" spans="1:20" ht="23.25" customHeight="1">
      <c r="A13" s="85" t="s">
        <v>23</v>
      </c>
      <c r="B13" s="361">
        <v>317</v>
      </c>
      <c r="C13" s="362" t="s">
        <v>718</v>
      </c>
      <c r="D13" s="363" t="s">
        <v>719</v>
      </c>
      <c r="E13" s="364" t="s">
        <v>720</v>
      </c>
      <c r="F13" s="365" t="s">
        <v>22</v>
      </c>
      <c r="G13" s="366" t="s">
        <v>23</v>
      </c>
      <c r="H13" s="361"/>
      <c r="I13" s="361">
        <v>0</v>
      </c>
      <c r="J13" s="361">
        <v>0</v>
      </c>
      <c r="K13" s="361">
        <v>0</v>
      </c>
      <c r="L13" s="361">
        <v>0</v>
      </c>
      <c r="M13" s="361" t="s">
        <v>291</v>
      </c>
      <c r="N13" s="361"/>
      <c r="O13" s="361"/>
      <c r="P13" s="367">
        <v>2.04</v>
      </c>
      <c r="Q13" s="366" t="str">
        <f>IF(ISBLANK(P13),"",IF(P13&lt;1.6,"",IF(P13&gt;=2.28,"TSM",IF(P13&gt;=2.15,"SM",IF(P13&gt;=2.03,"KSM",IF(P13&gt;=1.9,"I A",IF(P13&gt;=1.75,"II A",IF(P13&gt;=1.6,"III A"))))))))</f>
        <v>KSM</v>
      </c>
      <c r="R13" s="365" t="s">
        <v>721</v>
      </c>
      <c r="S13" s="368"/>
    </row>
    <row r="14" spans="1:20" ht="23.25" customHeight="1">
      <c r="A14" s="85"/>
      <c r="B14" s="361">
        <v>352</v>
      </c>
      <c r="C14" s="362" t="s">
        <v>398</v>
      </c>
      <c r="D14" s="363" t="s">
        <v>399</v>
      </c>
      <c r="E14" s="364" t="s">
        <v>400</v>
      </c>
      <c r="F14" s="365" t="s">
        <v>54</v>
      </c>
      <c r="G14" s="366"/>
      <c r="H14" s="361"/>
      <c r="I14" s="361"/>
      <c r="J14" s="361"/>
      <c r="K14" s="361"/>
      <c r="L14" s="361"/>
      <c r="M14" s="361"/>
      <c r="N14" s="361"/>
      <c r="O14" s="361"/>
      <c r="P14" s="367" t="s">
        <v>30</v>
      </c>
      <c r="Q14" s="366"/>
      <c r="R14" s="365" t="s">
        <v>344</v>
      </c>
      <c r="S14" s="368"/>
    </row>
  </sheetData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3"/>
  <sheetViews>
    <sheetView zoomScaleNormal="100" workbookViewId="0">
      <selection activeCell="H14" sqref="H14:H15"/>
    </sheetView>
  </sheetViews>
  <sheetFormatPr defaultColWidth="11.42578125" defaultRowHeight="12.75"/>
  <cols>
    <col min="1" max="1" width="4.28515625" style="215" customWidth="1"/>
    <col min="2" max="2" width="4.42578125" style="215" customWidth="1"/>
    <col min="3" max="3" width="9.85546875" style="215" customWidth="1"/>
    <col min="4" max="4" width="14.5703125" style="215" customWidth="1"/>
    <col min="5" max="5" width="9.28515625" style="215" customWidth="1"/>
    <col min="6" max="6" width="8.140625" style="215" customWidth="1"/>
    <col min="7" max="7" width="6" style="215" customWidth="1"/>
    <col min="8" max="16" width="4.42578125" style="215" customWidth="1"/>
    <col min="17" max="17" width="7.28515625" style="215" customWidth="1"/>
    <col min="18" max="18" width="4.42578125" style="215" bestFit="1" customWidth="1"/>
    <col min="19" max="19" width="19.7109375" style="222" customWidth="1"/>
    <col min="20" max="20" width="4" style="215" customWidth="1"/>
    <col min="21" max="16384" width="11.42578125" style="215"/>
  </cols>
  <sheetData>
    <row r="1" spans="1:21" s="213" customFormat="1" ht="15" customHeight="1">
      <c r="A1" s="210" t="s">
        <v>0</v>
      </c>
      <c r="B1" s="211"/>
      <c r="C1" s="212"/>
      <c r="D1" s="211"/>
      <c r="H1" s="214"/>
      <c r="I1" s="214"/>
      <c r="J1" s="214"/>
      <c r="K1" s="214"/>
      <c r="L1" s="214"/>
      <c r="M1" s="214"/>
      <c r="N1" s="214"/>
      <c r="O1" s="214"/>
      <c r="P1" s="214"/>
    </row>
    <row r="2" spans="1:21" ht="15" customHeight="1">
      <c r="C2" s="216"/>
      <c r="S2" s="8" t="s">
        <v>1</v>
      </c>
    </row>
    <row r="3" spans="1:21" s="106" customFormat="1" ht="15" customHeight="1">
      <c r="C3" s="210"/>
      <c r="G3" s="217"/>
      <c r="H3" s="215"/>
      <c r="I3" s="215"/>
      <c r="J3" s="215"/>
      <c r="K3" s="215"/>
      <c r="L3" s="215"/>
      <c r="M3" s="215"/>
      <c r="N3" s="215"/>
      <c r="O3" s="215"/>
      <c r="P3" s="215"/>
      <c r="S3" s="25" t="s">
        <v>3</v>
      </c>
    </row>
    <row r="4" spans="1:21" s="106" customFormat="1" ht="15" customHeight="1">
      <c r="C4" s="216" t="s">
        <v>284</v>
      </c>
      <c r="E4" s="213"/>
      <c r="G4" s="218"/>
      <c r="H4" s="215"/>
      <c r="I4" s="215"/>
      <c r="J4" s="215"/>
      <c r="K4" s="215"/>
      <c r="L4" s="215"/>
      <c r="M4" s="215"/>
      <c r="N4" s="215"/>
      <c r="O4" s="215"/>
      <c r="P4" s="215"/>
      <c r="S4" s="219"/>
    </row>
    <row r="5" spans="1:21" s="220" customFormat="1" ht="2.1" customHeight="1">
      <c r="U5" s="221"/>
    </row>
    <row r="6" spans="1:21" s="220" customFormat="1" ht="2.1" customHeight="1">
      <c r="U6" s="221"/>
    </row>
    <row r="7" spans="1:21" ht="15" customHeight="1">
      <c r="C7" s="212"/>
      <c r="H7" s="499" t="s">
        <v>285</v>
      </c>
      <c r="I7" s="500"/>
      <c r="J7" s="500"/>
      <c r="K7" s="500"/>
      <c r="L7" s="500"/>
      <c r="M7" s="500"/>
      <c r="N7" s="500"/>
      <c r="O7" s="500"/>
      <c r="P7" s="501"/>
    </row>
    <row r="8" spans="1:21" ht="24" customHeight="1">
      <c r="A8" s="223" t="s">
        <v>29</v>
      </c>
      <c r="B8" s="224" t="s">
        <v>4</v>
      </c>
      <c r="C8" s="225" t="s">
        <v>5</v>
      </c>
      <c r="D8" s="226" t="s">
        <v>6</v>
      </c>
      <c r="E8" s="227" t="s">
        <v>7</v>
      </c>
      <c r="F8" s="228" t="s">
        <v>8</v>
      </c>
      <c r="G8" s="229" t="s">
        <v>9</v>
      </c>
      <c r="H8" s="230">
        <v>2.6</v>
      </c>
      <c r="I8" s="230">
        <v>2.8</v>
      </c>
      <c r="J8" s="230">
        <v>2.9</v>
      </c>
      <c r="K8" s="230">
        <v>3</v>
      </c>
      <c r="L8" s="230">
        <v>3.1</v>
      </c>
      <c r="M8" s="230">
        <v>3.2</v>
      </c>
      <c r="N8" s="230">
        <v>3.3</v>
      </c>
      <c r="O8" s="230">
        <v>3.4</v>
      </c>
      <c r="P8" s="230"/>
      <c r="Q8" s="223" t="s">
        <v>286</v>
      </c>
      <c r="R8" s="228" t="s">
        <v>35</v>
      </c>
      <c r="S8" s="231" t="s">
        <v>13</v>
      </c>
      <c r="T8" s="232"/>
    </row>
    <row r="9" spans="1:21" ht="23.25" customHeight="1">
      <c r="A9" s="85">
        <v>1</v>
      </c>
      <c r="B9" s="233">
        <v>284</v>
      </c>
      <c r="C9" s="234" t="s">
        <v>287</v>
      </c>
      <c r="D9" s="235" t="s">
        <v>288</v>
      </c>
      <c r="E9" s="236" t="s">
        <v>289</v>
      </c>
      <c r="F9" s="237" t="s">
        <v>49</v>
      </c>
      <c r="G9" s="238">
        <f t="shared" ref="G9:G12" si="0">IF(ISBLANK(Q9),"",TRUNC(3.953*(Q9+34.83)^2)-5000)</f>
        <v>747</v>
      </c>
      <c r="H9" s="117"/>
      <c r="I9" s="117"/>
      <c r="J9" s="117"/>
      <c r="K9" s="117" t="s">
        <v>290</v>
      </c>
      <c r="L9" s="117">
        <v>0</v>
      </c>
      <c r="M9" s="117">
        <v>0</v>
      </c>
      <c r="N9" s="117">
        <v>0</v>
      </c>
      <c r="O9" s="117" t="s">
        <v>291</v>
      </c>
      <c r="P9" s="117"/>
      <c r="Q9" s="239">
        <v>3.3</v>
      </c>
      <c r="R9" s="241" t="str">
        <f t="shared" ref="R9:R13" si="1">IF(ISBLANK(Q9),"",IF(Q9&gt;=4.1,"TSM",IF(Q9&gt;=3.82,"SM",IF(Q9&gt;=3.48,"KSM",IF(Q9&gt;=3.1,"I A",IF(Q9&gt;=2.7,"II A",IF(Q9&gt;=2.4,"III A",)))))))</f>
        <v>I A</v>
      </c>
      <c r="S9" s="237" t="s">
        <v>292</v>
      </c>
      <c r="T9" s="240"/>
    </row>
    <row r="10" spans="1:21" ht="23.25" customHeight="1">
      <c r="A10" s="85">
        <v>2</v>
      </c>
      <c r="B10" s="233">
        <v>280</v>
      </c>
      <c r="C10" s="234" t="s">
        <v>147</v>
      </c>
      <c r="D10" s="235" t="s">
        <v>293</v>
      </c>
      <c r="E10" s="236" t="s">
        <v>294</v>
      </c>
      <c r="F10" s="237" t="s">
        <v>49</v>
      </c>
      <c r="G10" s="238">
        <f t="shared" si="0"/>
        <v>717</v>
      </c>
      <c r="H10" s="117"/>
      <c r="I10" s="117"/>
      <c r="J10" s="117">
        <v>0</v>
      </c>
      <c r="K10" s="117">
        <v>0</v>
      </c>
      <c r="L10" s="117">
        <v>0</v>
      </c>
      <c r="M10" s="117">
        <v>0</v>
      </c>
      <c r="N10" s="117" t="s">
        <v>291</v>
      </c>
      <c r="O10" s="117"/>
      <c r="P10" s="117"/>
      <c r="Q10" s="239">
        <v>3.2</v>
      </c>
      <c r="R10" s="241" t="str">
        <f t="shared" si="1"/>
        <v>I A</v>
      </c>
      <c r="S10" s="237" t="s">
        <v>292</v>
      </c>
      <c r="T10" s="240"/>
    </row>
    <row r="11" spans="1:21" ht="23.25" customHeight="1">
      <c r="A11" s="85">
        <v>3</v>
      </c>
      <c r="B11" s="233">
        <v>369</v>
      </c>
      <c r="C11" s="234" t="s">
        <v>165</v>
      </c>
      <c r="D11" s="235" t="s">
        <v>295</v>
      </c>
      <c r="E11" s="236" t="s">
        <v>296</v>
      </c>
      <c r="F11" s="237" t="s">
        <v>184</v>
      </c>
      <c r="G11" s="238">
        <f t="shared" si="0"/>
        <v>657</v>
      </c>
      <c r="H11" s="117"/>
      <c r="I11" s="117">
        <v>0</v>
      </c>
      <c r="J11" s="117" t="s">
        <v>108</v>
      </c>
      <c r="K11" s="117" t="s">
        <v>297</v>
      </c>
      <c r="L11" s="117" t="s">
        <v>291</v>
      </c>
      <c r="M11" s="117"/>
      <c r="N11" s="117"/>
      <c r="O11" s="117"/>
      <c r="P11" s="117"/>
      <c r="Q11" s="239">
        <v>3</v>
      </c>
      <c r="R11" s="241" t="str">
        <f t="shared" si="1"/>
        <v>II A</v>
      </c>
      <c r="S11" s="237" t="s">
        <v>298</v>
      </c>
      <c r="T11" s="240"/>
    </row>
    <row r="12" spans="1:21" ht="23.25" customHeight="1">
      <c r="A12" s="85">
        <v>4</v>
      </c>
      <c r="B12" s="233">
        <v>261</v>
      </c>
      <c r="C12" s="234" t="s">
        <v>141</v>
      </c>
      <c r="D12" s="235" t="s">
        <v>299</v>
      </c>
      <c r="E12" s="236" t="s">
        <v>300</v>
      </c>
      <c r="F12" s="237" t="s">
        <v>88</v>
      </c>
      <c r="G12" s="238">
        <f t="shared" si="0"/>
        <v>627</v>
      </c>
      <c r="H12" s="117"/>
      <c r="I12" s="117" t="s">
        <v>297</v>
      </c>
      <c r="J12" s="117">
        <v>0</v>
      </c>
      <c r="K12" s="117" t="s">
        <v>291</v>
      </c>
      <c r="L12" s="117"/>
      <c r="M12" s="117"/>
      <c r="N12" s="117"/>
      <c r="O12" s="117"/>
      <c r="P12" s="117"/>
      <c r="Q12" s="239">
        <v>2.9</v>
      </c>
      <c r="R12" s="241" t="str">
        <f t="shared" si="1"/>
        <v>II A</v>
      </c>
      <c r="S12" s="237" t="s">
        <v>292</v>
      </c>
      <c r="T12" s="240"/>
    </row>
    <row r="13" spans="1:21" ht="23.25" customHeight="1">
      <c r="A13" s="85">
        <v>5</v>
      </c>
      <c r="B13" s="233">
        <v>323</v>
      </c>
      <c r="C13" s="234" t="s">
        <v>301</v>
      </c>
      <c r="D13" s="235" t="s">
        <v>302</v>
      </c>
      <c r="E13" s="236" t="s">
        <v>303</v>
      </c>
      <c r="F13" s="237" t="s">
        <v>22</v>
      </c>
      <c r="G13" s="238" t="s">
        <v>23</v>
      </c>
      <c r="H13" s="117" t="s">
        <v>290</v>
      </c>
      <c r="I13" s="117" t="s">
        <v>291</v>
      </c>
      <c r="J13" s="117"/>
      <c r="K13" s="117"/>
      <c r="L13" s="117"/>
      <c r="M13" s="117"/>
      <c r="N13" s="117"/>
      <c r="O13" s="117"/>
      <c r="P13" s="117"/>
      <c r="Q13" s="239">
        <v>2.6</v>
      </c>
      <c r="R13" s="241" t="str">
        <f t="shared" si="1"/>
        <v>III A</v>
      </c>
      <c r="S13" s="237" t="s">
        <v>304</v>
      </c>
      <c r="T13" s="240"/>
    </row>
  </sheetData>
  <mergeCells count="1">
    <mergeCell ref="H7:P7"/>
  </mergeCells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5"/>
  <sheetViews>
    <sheetView showZeros="0" tabSelected="1" workbookViewId="0">
      <selection activeCell="G39" sqref="G39"/>
    </sheetView>
  </sheetViews>
  <sheetFormatPr defaultColWidth="9.140625" defaultRowHeight="12.75"/>
  <cols>
    <col min="1" max="1" width="5.5703125" style="9" customWidth="1"/>
    <col min="2" max="2" width="4.5703125" style="9" customWidth="1"/>
    <col min="3" max="3" width="12.85546875" style="9" customWidth="1"/>
    <col min="4" max="4" width="13.5703125" style="9" customWidth="1"/>
    <col min="5" max="5" width="8.7109375" style="16" customWidth="1"/>
    <col min="6" max="6" width="9.5703125" style="67" customWidth="1"/>
    <col min="7" max="7" width="7.5703125" style="68" customWidth="1"/>
    <col min="8" max="10" width="5.5703125" style="69" customWidth="1"/>
    <col min="11" max="11" width="3.7109375" style="70" customWidth="1"/>
    <col min="12" max="14" width="5.5703125" style="69" customWidth="1"/>
    <col min="15" max="15" width="7.28515625" style="71" customWidth="1"/>
    <col min="16" max="16" width="6.5703125" style="64" customWidth="1"/>
    <col min="17" max="17" width="17.85546875" style="9" customWidth="1"/>
    <col min="18" max="18" width="4.42578125" style="72" customWidth="1"/>
    <col min="19" max="16384" width="9.140625" style="9"/>
  </cols>
  <sheetData>
    <row r="1" spans="1:23" s="64" customFormat="1" ht="20.25">
      <c r="A1" s="1" t="s">
        <v>0</v>
      </c>
      <c r="B1" s="57"/>
      <c r="C1" s="58"/>
      <c r="D1" s="57"/>
      <c r="E1" s="59"/>
      <c r="F1" s="60"/>
      <c r="G1" s="61"/>
      <c r="H1" s="62"/>
      <c r="I1" s="62"/>
      <c r="J1" s="62"/>
      <c r="K1" s="57"/>
      <c r="L1" s="62"/>
      <c r="M1" s="62"/>
      <c r="N1" s="62"/>
      <c r="O1" s="62"/>
      <c r="P1" s="57"/>
      <c r="Q1" s="57"/>
      <c r="R1" s="63"/>
    </row>
    <row r="2" spans="1:23" s="64" customFormat="1" ht="12" customHeight="1">
      <c r="A2" s="57"/>
      <c r="B2" s="57"/>
      <c r="C2" s="57"/>
      <c r="D2" s="57"/>
      <c r="E2" s="65"/>
      <c r="F2" s="66"/>
      <c r="G2" s="61"/>
      <c r="H2" s="62"/>
      <c r="I2" s="62"/>
      <c r="J2" s="62"/>
      <c r="K2" s="57"/>
      <c r="L2" s="62"/>
      <c r="M2" s="62"/>
      <c r="N2" s="62"/>
      <c r="O2" s="62"/>
      <c r="P2" s="57"/>
      <c r="Q2" s="8" t="s">
        <v>1</v>
      </c>
      <c r="R2" s="63"/>
    </row>
    <row r="3" spans="1:23" ht="12.75" customHeight="1">
      <c r="C3" s="10"/>
      <c r="L3" s="15"/>
      <c r="M3" s="15"/>
      <c r="Q3" s="25" t="s">
        <v>3</v>
      </c>
    </row>
    <row r="4" spans="1:23" ht="16.5" customHeight="1">
      <c r="C4" s="1" t="s">
        <v>31</v>
      </c>
      <c r="E4" s="73"/>
      <c r="L4" s="15"/>
      <c r="M4" s="15"/>
      <c r="Q4" s="25"/>
    </row>
    <row r="5" spans="1:23" s="70" customFormat="1" ht="2.1" customHeight="1">
      <c r="W5" s="74"/>
    </row>
    <row r="6" spans="1:23" s="70" customFormat="1" ht="2.1" customHeight="1">
      <c r="W6" s="74"/>
    </row>
    <row r="7" spans="1:23">
      <c r="H7" s="502" t="s">
        <v>32</v>
      </c>
      <c r="I7" s="503"/>
      <c r="J7" s="503"/>
      <c r="K7" s="503"/>
      <c r="L7" s="503"/>
      <c r="M7" s="503"/>
      <c r="N7" s="504"/>
    </row>
    <row r="8" spans="1:23" ht="22.5" customHeight="1">
      <c r="A8" s="75" t="s">
        <v>29</v>
      </c>
      <c r="B8" s="76" t="s">
        <v>4</v>
      </c>
      <c r="C8" s="77" t="s">
        <v>5</v>
      </c>
      <c r="D8" s="78" t="s">
        <v>6</v>
      </c>
      <c r="E8" s="79" t="s">
        <v>7</v>
      </c>
      <c r="F8" s="80" t="s">
        <v>8</v>
      </c>
      <c r="G8" s="81" t="s">
        <v>9</v>
      </c>
      <c r="H8" s="82">
        <v>1</v>
      </c>
      <c r="I8" s="82">
        <v>2</v>
      </c>
      <c r="J8" s="82">
        <v>3</v>
      </c>
      <c r="K8" s="83" t="s">
        <v>33</v>
      </c>
      <c r="L8" s="82">
        <v>4</v>
      </c>
      <c r="M8" s="82">
        <v>5</v>
      </c>
      <c r="N8" s="82">
        <v>6</v>
      </c>
      <c r="O8" s="84" t="s">
        <v>34</v>
      </c>
      <c r="P8" s="76" t="s">
        <v>35</v>
      </c>
      <c r="Q8" s="76" t="s">
        <v>13</v>
      </c>
    </row>
    <row r="9" spans="1:23" s="96" customFormat="1" ht="20.100000000000001" customHeight="1">
      <c r="A9" s="85">
        <v>1</v>
      </c>
      <c r="B9" s="86">
        <v>395</v>
      </c>
      <c r="C9" s="87" t="s">
        <v>36</v>
      </c>
      <c r="D9" s="88" t="s">
        <v>37</v>
      </c>
      <c r="E9" s="89" t="s">
        <v>38</v>
      </c>
      <c r="F9" s="90" t="s">
        <v>17</v>
      </c>
      <c r="G9" s="91">
        <f>IF(ISBLANK(O9),"",TRUNC(1.966*(O9+49.24)^2)-5000)</f>
        <v>949</v>
      </c>
      <c r="H9" s="92">
        <v>5.55</v>
      </c>
      <c r="I9" s="92" t="s">
        <v>39</v>
      </c>
      <c r="J9" s="92">
        <v>5.77</v>
      </c>
      <c r="K9" s="93">
        <v>5</v>
      </c>
      <c r="L9" s="92">
        <v>5.62</v>
      </c>
      <c r="M9" s="92" t="s">
        <v>39</v>
      </c>
      <c r="N9" s="92">
        <v>5.6</v>
      </c>
      <c r="O9" s="84">
        <f t="shared" ref="O9:O13" si="0">MAX(H9:J9,L9:N9)</f>
        <v>5.77</v>
      </c>
      <c r="P9" s="92" t="str">
        <f t="shared" ref="P9:P13" si="1">IF(ISBLANK(O9),"",IF(O9&lt;4.6,"",IF(O9&gt;=6.62,"TSM",IF(O9&gt;=6.3,"SM",IF(O9&gt;=6,"KSM",IF(O9&gt;=5.6,"I A",IF(O9&gt;=5.15,"II A",IF(O9&gt;=4.6,"III A"))))))))</f>
        <v>I A</v>
      </c>
      <c r="Q9" s="94" t="s">
        <v>40</v>
      </c>
      <c r="R9" s="95"/>
    </row>
    <row r="10" spans="1:23" s="96" customFormat="1" ht="20.100000000000001" customHeight="1">
      <c r="A10" s="85">
        <v>2</v>
      </c>
      <c r="B10" s="86">
        <v>285</v>
      </c>
      <c r="C10" s="87" t="s">
        <v>46</v>
      </c>
      <c r="D10" s="88" t="s">
        <v>47</v>
      </c>
      <c r="E10" s="89" t="s">
        <v>48</v>
      </c>
      <c r="F10" s="90" t="s">
        <v>49</v>
      </c>
      <c r="G10" s="91">
        <f>IF(ISBLANK(O10),"",TRUNC(1.966*(O10+49.24)^2)-5000)</f>
        <v>942</v>
      </c>
      <c r="H10" s="92">
        <v>5.39</v>
      </c>
      <c r="I10" s="92">
        <v>5.57</v>
      </c>
      <c r="J10" s="92">
        <v>5.74</v>
      </c>
      <c r="K10" s="93">
        <v>4</v>
      </c>
      <c r="L10" s="92">
        <v>5.52</v>
      </c>
      <c r="M10" s="92">
        <v>5.68</v>
      </c>
      <c r="N10" s="92">
        <v>5.67</v>
      </c>
      <c r="O10" s="84">
        <f>MAX(H10:J10,L10:N10)</f>
        <v>5.74</v>
      </c>
      <c r="P10" s="92" t="str">
        <f>IF(ISBLANK(O10),"",IF(O10&lt;4.6,"",IF(O10&gt;=6.62,"TSM",IF(O10&gt;=6.3,"SM",IF(O10&gt;=6,"KSM",IF(O10&gt;=5.6,"I A",IF(O10&gt;=5.15,"II A",IF(O10&gt;=4.6,"III A"))))))))</f>
        <v>I A</v>
      </c>
      <c r="Q10" s="94" t="s">
        <v>50</v>
      </c>
      <c r="R10" s="95"/>
    </row>
    <row r="11" spans="1:23" s="96" customFormat="1" ht="20.100000000000001" customHeight="1">
      <c r="A11" s="85">
        <v>3</v>
      </c>
      <c r="B11" s="86">
        <v>345</v>
      </c>
      <c r="C11" s="87" t="s">
        <v>51</v>
      </c>
      <c r="D11" s="88" t="s">
        <v>52</v>
      </c>
      <c r="E11" s="89" t="s">
        <v>53</v>
      </c>
      <c r="F11" s="90" t="s">
        <v>54</v>
      </c>
      <c r="G11" s="91">
        <f>IF(ISBLANK(O11),"",TRUNC(1.966*(O11+49.24)^2)-5000)</f>
        <v>906</v>
      </c>
      <c r="H11" s="92" t="s">
        <v>39</v>
      </c>
      <c r="I11" s="92">
        <v>5.56</v>
      </c>
      <c r="J11" s="92" t="s">
        <v>39</v>
      </c>
      <c r="K11" s="93">
        <v>3</v>
      </c>
      <c r="L11" s="92">
        <v>5.52</v>
      </c>
      <c r="M11" s="92">
        <v>5.57</v>
      </c>
      <c r="N11" s="92" t="s">
        <v>39</v>
      </c>
      <c r="O11" s="84">
        <f t="shared" ref="O11" si="2">MAX(H11:J11,L11:N11)</f>
        <v>5.57</v>
      </c>
      <c r="P11" s="92" t="str">
        <f t="shared" ref="P11" si="3">IF(ISBLANK(O11),"",IF(O11&lt;4.6,"",IF(O11&gt;=6.62,"TSM",IF(O11&gt;=6.3,"SM",IF(O11&gt;=6,"KSM",IF(O11&gt;=5.6,"I A",IF(O11&gt;=5.15,"II A",IF(O11&gt;=4.6,"III A"))))))))</f>
        <v>II A</v>
      </c>
      <c r="Q11" s="94" t="s">
        <v>55</v>
      </c>
      <c r="R11" s="95"/>
    </row>
    <row r="12" spans="1:23" s="96" customFormat="1" ht="20.100000000000001" customHeight="1">
      <c r="A12" s="85">
        <v>4</v>
      </c>
      <c r="B12" s="86">
        <v>238</v>
      </c>
      <c r="C12" s="87" t="s">
        <v>41</v>
      </c>
      <c r="D12" s="88" t="s">
        <v>42</v>
      </c>
      <c r="E12" s="89" t="s">
        <v>43</v>
      </c>
      <c r="F12" s="90" t="s">
        <v>44</v>
      </c>
      <c r="G12" s="91">
        <f>IF(ISBLANK(O12),"",TRUNC(1.966*(O12+49.24)^2)-5000)</f>
        <v>824</v>
      </c>
      <c r="H12" s="92">
        <v>5.18</v>
      </c>
      <c r="I12" s="92">
        <v>5.12</v>
      </c>
      <c r="J12" s="92" t="s">
        <v>39</v>
      </c>
      <c r="K12" s="93">
        <v>2</v>
      </c>
      <c r="L12" s="92">
        <v>5.07</v>
      </c>
      <c r="M12" s="92">
        <v>5.19</v>
      </c>
      <c r="N12" s="92" t="s">
        <v>39</v>
      </c>
      <c r="O12" s="84">
        <f t="shared" si="0"/>
        <v>5.19</v>
      </c>
      <c r="P12" s="92" t="str">
        <f t="shared" si="1"/>
        <v>II A</v>
      </c>
      <c r="Q12" s="94" t="s">
        <v>45</v>
      </c>
      <c r="R12" s="95"/>
    </row>
    <row r="13" spans="1:23" s="96" customFormat="1" ht="20.100000000000001" customHeight="1">
      <c r="A13" s="85">
        <v>5</v>
      </c>
      <c r="B13" s="86">
        <v>274</v>
      </c>
      <c r="C13" s="87" t="s">
        <v>56</v>
      </c>
      <c r="D13" s="88" t="s">
        <v>57</v>
      </c>
      <c r="E13" s="89" t="s">
        <v>58</v>
      </c>
      <c r="F13" s="90" t="s">
        <v>59</v>
      </c>
      <c r="G13" s="91">
        <f>IF(ISBLANK(O13),"",TRUNC(1.966*(O13+49.24)^2)-5000)</f>
        <v>747</v>
      </c>
      <c r="H13" s="92">
        <v>4.46</v>
      </c>
      <c r="I13" s="92">
        <v>4.8</v>
      </c>
      <c r="J13" s="92">
        <v>4.66</v>
      </c>
      <c r="K13" s="93">
        <v>1</v>
      </c>
      <c r="L13" s="92">
        <v>4.6100000000000003</v>
      </c>
      <c r="M13" s="92">
        <v>4.83</v>
      </c>
      <c r="N13" s="92">
        <v>4.6399999999999997</v>
      </c>
      <c r="O13" s="84">
        <f t="shared" si="0"/>
        <v>4.83</v>
      </c>
      <c r="P13" s="92" t="str">
        <f t="shared" si="1"/>
        <v>III A</v>
      </c>
      <c r="Q13" s="94" t="s">
        <v>60</v>
      </c>
      <c r="R13" s="95"/>
    </row>
    <row r="14" spans="1:23" s="96" customFormat="1" ht="20.100000000000001" customHeight="1">
      <c r="A14" s="85" t="s">
        <v>23</v>
      </c>
      <c r="B14" s="86">
        <v>266</v>
      </c>
      <c r="C14" s="87" t="s">
        <v>61</v>
      </c>
      <c r="D14" s="88" t="s">
        <v>62</v>
      </c>
      <c r="E14" s="89" t="s">
        <v>63</v>
      </c>
      <c r="F14" s="90" t="s">
        <v>64</v>
      </c>
      <c r="G14" s="91" t="s">
        <v>23</v>
      </c>
      <c r="H14" s="92">
        <v>5.66</v>
      </c>
      <c r="I14" s="92">
        <v>5.48</v>
      </c>
      <c r="J14" s="92">
        <v>5.7</v>
      </c>
      <c r="K14" s="93"/>
      <c r="L14" s="92"/>
      <c r="M14" s="92"/>
      <c r="N14" s="92"/>
      <c r="O14" s="84">
        <f>MAX(H14:J14,L14:N14)</f>
        <v>5.7</v>
      </c>
      <c r="P14" s="92" t="str">
        <f>IF(ISBLANK(O14),"",IF(O14&lt;4.6,"",IF(O14&gt;=6.62,"TSM",IF(O14&gt;=6.3,"SM",IF(O14&gt;=6,"KSM",IF(O14&gt;=5.6,"I A",IF(O14&gt;=5.15,"II A",IF(O14&gt;=4.6,"III A"))))))))</f>
        <v>I A</v>
      </c>
      <c r="Q14" s="94" t="s">
        <v>65</v>
      </c>
      <c r="R14" s="95"/>
    </row>
    <row r="15" spans="1:23" s="96" customFormat="1" ht="20.100000000000001" customHeight="1">
      <c r="A15" s="85" t="s">
        <v>23</v>
      </c>
      <c r="B15" s="86">
        <v>300</v>
      </c>
      <c r="C15" s="87" t="s">
        <v>66</v>
      </c>
      <c r="D15" s="88" t="s">
        <v>67</v>
      </c>
      <c r="E15" s="89" t="s">
        <v>68</v>
      </c>
      <c r="F15" s="90" t="s">
        <v>22</v>
      </c>
      <c r="G15" s="91" t="s">
        <v>23</v>
      </c>
      <c r="H15" s="92">
        <v>5.19</v>
      </c>
      <c r="I15" s="92" t="s">
        <v>39</v>
      </c>
      <c r="J15" s="92">
        <v>5.32</v>
      </c>
      <c r="K15" s="93"/>
      <c r="L15" s="92"/>
      <c r="M15" s="92"/>
      <c r="N15" s="92"/>
      <c r="O15" s="84">
        <f>MAX(H15:J15,L15:N15)</f>
        <v>5.32</v>
      </c>
      <c r="P15" s="92" t="str">
        <f>IF(ISBLANK(O15),"",IF(O15&lt;4.6,"",IF(O15&gt;=6.62,"TSM",IF(O15&gt;=6.3,"SM",IF(O15&gt;=6,"KSM",IF(O15&gt;=5.6,"I A",IF(O15&gt;=5.15,"II A",IF(O15&gt;=4.6,"III A"))))))))</f>
        <v>II A</v>
      </c>
      <c r="Q15" s="94" t="s">
        <v>69</v>
      </c>
      <c r="R15" s="95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6"/>
  <sheetViews>
    <sheetView showZeros="0" workbookViewId="0">
      <selection activeCell="L17" sqref="L17"/>
    </sheetView>
  </sheetViews>
  <sheetFormatPr defaultColWidth="9.140625" defaultRowHeight="12.75"/>
  <cols>
    <col min="1" max="1" width="5.5703125" style="9" customWidth="1"/>
    <col min="2" max="2" width="4.5703125" style="9" customWidth="1"/>
    <col min="3" max="3" width="9.85546875" style="9" customWidth="1"/>
    <col min="4" max="4" width="13.5703125" style="9" customWidth="1"/>
    <col min="5" max="5" width="8.7109375" style="16" customWidth="1"/>
    <col min="6" max="6" width="12.85546875" style="67" customWidth="1"/>
    <col min="7" max="7" width="7.5703125" style="68" customWidth="1"/>
    <col min="8" max="10" width="5.5703125" style="69" customWidth="1"/>
    <col min="11" max="11" width="4.28515625" style="70" customWidth="1"/>
    <col min="12" max="14" width="5.5703125" style="69" customWidth="1"/>
    <col min="15" max="15" width="7.28515625" style="71" customWidth="1"/>
    <col min="16" max="16" width="6.5703125" style="64" customWidth="1"/>
    <col min="17" max="17" width="26.140625" style="9" customWidth="1"/>
    <col min="18" max="18" width="4.42578125" style="208" customWidth="1"/>
    <col min="19" max="16384" width="9.140625" style="9"/>
  </cols>
  <sheetData>
    <row r="1" spans="1:23" s="64" customFormat="1" ht="20.25">
      <c r="A1" s="1" t="s">
        <v>0</v>
      </c>
      <c r="B1" s="57"/>
      <c r="C1" s="58"/>
      <c r="D1" s="57"/>
      <c r="E1" s="59"/>
      <c r="F1" s="60"/>
      <c r="G1" s="61"/>
      <c r="H1" s="62"/>
      <c r="I1" s="62"/>
      <c r="J1" s="62"/>
      <c r="K1" s="57"/>
      <c r="L1" s="62"/>
      <c r="M1" s="62"/>
      <c r="N1" s="62"/>
      <c r="O1" s="62"/>
      <c r="P1" s="57"/>
      <c r="Q1" s="57"/>
      <c r="R1" s="207"/>
    </row>
    <row r="2" spans="1:23" s="64" customFormat="1" ht="12" customHeight="1">
      <c r="A2" s="57"/>
      <c r="B2" s="57"/>
      <c r="C2" s="57"/>
      <c r="D2" s="57"/>
      <c r="E2" s="65"/>
      <c r="F2" s="66"/>
      <c r="G2" s="61"/>
      <c r="H2" s="62"/>
      <c r="I2" s="62"/>
      <c r="J2" s="62"/>
      <c r="K2" s="57"/>
      <c r="L2" s="62"/>
      <c r="M2" s="62"/>
      <c r="N2" s="62"/>
      <c r="O2" s="62"/>
      <c r="P2" s="57"/>
      <c r="Q2" s="8" t="s">
        <v>1</v>
      </c>
      <c r="R2" s="207"/>
    </row>
    <row r="3" spans="1:23" ht="12.75" customHeight="1">
      <c r="C3" s="10"/>
      <c r="L3" s="15"/>
      <c r="M3" s="15"/>
      <c r="Q3" s="25" t="s">
        <v>3</v>
      </c>
    </row>
    <row r="4" spans="1:23" ht="16.5" customHeight="1">
      <c r="C4" s="1" t="s">
        <v>260</v>
      </c>
      <c r="E4" s="73"/>
      <c r="L4" s="15"/>
      <c r="M4" s="15"/>
    </row>
    <row r="5" spans="1:23" s="70" customFormat="1" ht="2.1" customHeight="1">
      <c r="W5" s="74"/>
    </row>
    <row r="6" spans="1:23" s="70" customFormat="1" ht="2.1" customHeight="1">
      <c r="W6" s="74"/>
    </row>
    <row r="7" spans="1:23" ht="17.25" customHeight="1">
      <c r="H7" s="502" t="s">
        <v>32</v>
      </c>
      <c r="I7" s="503"/>
      <c r="J7" s="503"/>
      <c r="K7" s="503"/>
      <c r="L7" s="503"/>
      <c r="M7" s="503"/>
      <c r="N7" s="504"/>
    </row>
    <row r="8" spans="1:23" ht="22.5" customHeight="1">
      <c r="A8" s="75" t="s">
        <v>29</v>
      </c>
      <c r="B8" s="76" t="s">
        <v>4</v>
      </c>
      <c r="C8" s="77" t="s">
        <v>5</v>
      </c>
      <c r="D8" s="78" t="s">
        <v>6</v>
      </c>
      <c r="E8" s="79" t="s">
        <v>7</v>
      </c>
      <c r="F8" s="80" t="s">
        <v>8</v>
      </c>
      <c r="G8" s="81" t="s">
        <v>9</v>
      </c>
      <c r="H8" s="82">
        <v>1</v>
      </c>
      <c r="I8" s="82">
        <v>2</v>
      </c>
      <c r="J8" s="82">
        <v>3</v>
      </c>
      <c r="K8" s="83" t="s">
        <v>33</v>
      </c>
      <c r="L8" s="82">
        <v>4</v>
      </c>
      <c r="M8" s="82">
        <v>5</v>
      </c>
      <c r="N8" s="82">
        <v>6</v>
      </c>
      <c r="O8" s="84" t="s">
        <v>34</v>
      </c>
      <c r="P8" s="76" t="s">
        <v>35</v>
      </c>
      <c r="Q8" s="76" t="s">
        <v>13</v>
      </c>
      <c r="R8" s="95"/>
    </row>
    <row r="9" spans="1:23" s="96" customFormat="1" ht="20.100000000000001" customHeight="1">
      <c r="A9" s="85">
        <v>1</v>
      </c>
      <c r="B9" s="86">
        <v>312</v>
      </c>
      <c r="C9" s="87" t="s">
        <v>261</v>
      </c>
      <c r="D9" s="88" t="s">
        <v>262</v>
      </c>
      <c r="E9" s="89" t="s">
        <v>263</v>
      </c>
      <c r="F9" s="90" t="s">
        <v>243</v>
      </c>
      <c r="G9" s="91">
        <f>IF(ISBLANK(O9),"",TRUNC(1.929*(O9+48.41)^2)-5000)</f>
        <v>877</v>
      </c>
      <c r="H9" s="92" t="s">
        <v>39</v>
      </c>
      <c r="I9" s="92" t="s">
        <v>39</v>
      </c>
      <c r="J9" s="92">
        <v>6.52</v>
      </c>
      <c r="K9" s="93">
        <v>4</v>
      </c>
      <c r="L9" s="92" t="s">
        <v>39</v>
      </c>
      <c r="M9" s="209">
        <v>6.79</v>
      </c>
      <c r="N9" s="209" t="s">
        <v>108</v>
      </c>
      <c r="O9" s="84">
        <f t="shared" ref="O9:O14" si="0">MAX(H9:J9,L9:N9)</f>
        <v>6.79</v>
      </c>
      <c r="P9" s="92" t="str">
        <f t="shared" ref="P9:P14" si="1">IF(ISBLANK(O9),"",IF(O9&lt;5.6,"",IF(O9&gt;=8.05,"TSM",IF(O9&gt;=7.65,"SM",IF(O9&gt;=7.2,"KSM",IF(O9&gt;=6.7,"I A",IF(O9&gt;=6.2,"II A",IF(O9&gt;=5.6,"III A"))))))))</f>
        <v>I A</v>
      </c>
      <c r="Q9" s="94" t="s">
        <v>264</v>
      </c>
      <c r="R9" s="95"/>
    </row>
    <row r="10" spans="1:23" s="96" customFormat="1" ht="20.100000000000001" customHeight="1">
      <c r="A10" s="85">
        <v>2</v>
      </c>
      <c r="B10" s="86">
        <v>342</v>
      </c>
      <c r="C10" s="87" t="s">
        <v>265</v>
      </c>
      <c r="D10" s="88" t="s">
        <v>266</v>
      </c>
      <c r="E10" s="89" t="s">
        <v>267</v>
      </c>
      <c r="F10" s="90" t="s">
        <v>54</v>
      </c>
      <c r="G10" s="91">
        <f>IF(ISBLANK(O10),"",TRUNC(1.929*(O10+48.41)^2)-5000)</f>
        <v>822</v>
      </c>
      <c r="H10" s="92" t="s">
        <v>39</v>
      </c>
      <c r="I10" s="92" t="s">
        <v>39</v>
      </c>
      <c r="J10" s="92">
        <v>6.33</v>
      </c>
      <c r="K10" s="93">
        <v>1</v>
      </c>
      <c r="L10" s="92" t="s">
        <v>39</v>
      </c>
      <c r="M10" s="209">
        <v>6.53</v>
      </c>
      <c r="N10" s="209">
        <v>6.53</v>
      </c>
      <c r="O10" s="84">
        <f t="shared" si="0"/>
        <v>6.53</v>
      </c>
      <c r="P10" s="92" t="str">
        <f t="shared" si="1"/>
        <v>II A</v>
      </c>
      <c r="Q10" s="94" t="s">
        <v>132</v>
      </c>
      <c r="R10" s="95"/>
    </row>
    <row r="11" spans="1:23" s="96" customFormat="1" ht="20.100000000000001" customHeight="1">
      <c r="A11" s="85">
        <v>3</v>
      </c>
      <c r="B11" s="86">
        <v>279</v>
      </c>
      <c r="C11" s="87" t="s">
        <v>268</v>
      </c>
      <c r="D11" s="88" t="s">
        <v>269</v>
      </c>
      <c r="E11" s="89" t="s">
        <v>270</v>
      </c>
      <c r="F11" s="90" t="s">
        <v>49</v>
      </c>
      <c r="G11" s="91">
        <f>IF(ISBLANK(O11),"",TRUNC(1.929*(O11+48.41)^2)-5000)</f>
        <v>786</v>
      </c>
      <c r="H11" s="92">
        <v>6.32</v>
      </c>
      <c r="I11" s="92" t="s">
        <v>108</v>
      </c>
      <c r="J11" s="92">
        <v>6.36</v>
      </c>
      <c r="K11" s="93">
        <v>3</v>
      </c>
      <c r="L11" s="92" t="s">
        <v>108</v>
      </c>
      <c r="M11" s="209" t="s">
        <v>108</v>
      </c>
      <c r="N11" s="209" t="s">
        <v>108</v>
      </c>
      <c r="O11" s="84">
        <f t="shared" si="0"/>
        <v>6.36</v>
      </c>
      <c r="P11" s="92" t="str">
        <f t="shared" si="1"/>
        <v>II A</v>
      </c>
      <c r="Q11" s="94" t="s">
        <v>50</v>
      </c>
      <c r="R11" s="95"/>
    </row>
    <row r="12" spans="1:23" s="96" customFormat="1" ht="20.100000000000001" customHeight="1">
      <c r="A12" s="85">
        <v>4</v>
      </c>
      <c r="B12" s="86">
        <v>275</v>
      </c>
      <c r="C12" s="87" t="s">
        <v>227</v>
      </c>
      <c r="D12" s="88" t="s">
        <v>226</v>
      </c>
      <c r="E12" s="89" t="s">
        <v>225</v>
      </c>
      <c r="F12" s="90" t="s">
        <v>49</v>
      </c>
      <c r="G12" s="91">
        <f>IF(ISBLANK(O12),"",TRUNC(1.929*(O12+48.41)^2)-5000)</f>
        <v>782</v>
      </c>
      <c r="H12" s="92" t="s">
        <v>39</v>
      </c>
      <c r="I12" s="92" t="s">
        <v>108</v>
      </c>
      <c r="J12" s="92">
        <v>6.34</v>
      </c>
      <c r="K12" s="93">
        <v>2</v>
      </c>
      <c r="L12" s="92">
        <v>6.18</v>
      </c>
      <c r="M12" s="209">
        <v>4.6900000000000004</v>
      </c>
      <c r="N12" s="209">
        <v>6.19</v>
      </c>
      <c r="O12" s="84">
        <f t="shared" si="0"/>
        <v>6.34</v>
      </c>
      <c r="P12" s="92" t="str">
        <f t="shared" si="1"/>
        <v>II A</v>
      </c>
      <c r="Q12" s="94" t="s">
        <v>224</v>
      </c>
      <c r="R12" s="95"/>
    </row>
    <row r="13" spans="1:23" s="96" customFormat="1" ht="20.100000000000001" customHeight="1">
      <c r="A13" s="85" t="s">
        <v>23</v>
      </c>
      <c r="B13" s="86">
        <v>304</v>
      </c>
      <c r="C13" s="87" t="s">
        <v>271</v>
      </c>
      <c r="D13" s="88" t="s">
        <v>272</v>
      </c>
      <c r="E13" s="89" t="s">
        <v>273</v>
      </c>
      <c r="F13" s="90" t="s">
        <v>274</v>
      </c>
      <c r="G13" s="91" t="s">
        <v>23</v>
      </c>
      <c r="H13" s="92">
        <v>6.87</v>
      </c>
      <c r="I13" s="92">
        <v>6.8</v>
      </c>
      <c r="J13" s="92">
        <v>7.13</v>
      </c>
      <c r="K13" s="93"/>
      <c r="L13" s="92"/>
      <c r="M13" s="209"/>
      <c r="N13" s="209"/>
      <c r="O13" s="84">
        <f t="shared" si="0"/>
        <v>7.13</v>
      </c>
      <c r="P13" s="92" t="str">
        <f t="shared" si="1"/>
        <v>I A</v>
      </c>
      <c r="Q13" s="94" t="s">
        <v>275</v>
      </c>
      <c r="R13" s="95"/>
    </row>
    <row r="14" spans="1:23" s="96" customFormat="1" ht="20.100000000000001" customHeight="1">
      <c r="A14" s="85" t="s">
        <v>23</v>
      </c>
      <c r="B14" s="86">
        <v>326</v>
      </c>
      <c r="C14" s="87" t="s">
        <v>276</v>
      </c>
      <c r="D14" s="88" t="s">
        <v>277</v>
      </c>
      <c r="E14" s="89" t="s">
        <v>278</v>
      </c>
      <c r="F14" s="90" t="s">
        <v>22</v>
      </c>
      <c r="G14" s="91" t="s">
        <v>23</v>
      </c>
      <c r="H14" s="92" t="s">
        <v>39</v>
      </c>
      <c r="I14" s="92">
        <v>6.21</v>
      </c>
      <c r="J14" s="92">
        <v>6.1</v>
      </c>
      <c r="K14" s="93"/>
      <c r="L14" s="92"/>
      <c r="M14" s="209"/>
      <c r="N14" s="209"/>
      <c r="O14" s="84">
        <f t="shared" si="0"/>
        <v>6.21</v>
      </c>
      <c r="P14" s="92" t="str">
        <f t="shared" si="1"/>
        <v>II A</v>
      </c>
      <c r="Q14" s="94" t="s">
        <v>160</v>
      </c>
      <c r="R14" s="95"/>
    </row>
    <row r="15" spans="1:23" s="96" customFormat="1" ht="20.100000000000001" customHeight="1">
      <c r="A15" s="85"/>
      <c r="B15" s="86">
        <v>328</v>
      </c>
      <c r="C15" s="87" t="s">
        <v>223</v>
      </c>
      <c r="D15" s="88" t="s">
        <v>222</v>
      </c>
      <c r="E15" s="89" t="s">
        <v>221</v>
      </c>
      <c r="F15" s="90" t="s">
        <v>22</v>
      </c>
      <c r="G15" s="91" t="s">
        <v>23</v>
      </c>
      <c r="H15" s="92" t="s">
        <v>108</v>
      </c>
      <c r="I15" s="92" t="s">
        <v>39</v>
      </c>
      <c r="J15" s="92" t="s">
        <v>39</v>
      </c>
      <c r="K15" s="93"/>
      <c r="L15" s="92"/>
      <c r="M15" s="209"/>
      <c r="N15" s="209"/>
      <c r="O15" s="84" t="s">
        <v>279</v>
      </c>
      <c r="P15" s="92"/>
      <c r="Q15" s="94" t="s">
        <v>160</v>
      </c>
      <c r="R15" s="95"/>
    </row>
    <row r="16" spans="1:23" s="96" customFormat="1" ht="20.100000000000001" customHeight="1">
      <c r="A16" s="85"/>
      <c r="B16" s="86">
        <v>299</v>
      </c>
      <c r="C16" s="87" t="s">
        <v>280</v>
      </c>
      <c r="D16" s="88" t="s">
        <v>281</v>
      </c>
      <c r="E16" s="89" t="s">
        <v>282</v>
      </c>
      <c r="F16" s="90" t="s">
        <v>212</v>
      </c>
      <c r="G16" s="91"/>
      <c r="H16" s="92"/>
      <c r="I16" s="92"/>
      <c r="J16" s="92"/>
      <c r="K16" s="93"/>
      <c r="L16" s="92"/>
      <c r="M16" s="209"/>
      <c r="N16" s="209"/>
      <c r="O16" s="84" t="s">
        <v>30</v>
      </c>
      <c r="P16" s="92"/>
      <c r="Q16" s="94" t="s">
        <v>283</v>
      </c>
      <c r="R16" s="95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L34"/>
  <sheetViews>
    <sheetView topLeftCell="A16" zoomScale="110" zoomScaleNormal="110" workbookViewId="0">
      <selection activeCell="A2" sqref="A2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168" customWidth="1"/>
    <col min="6" max="6" width="10.85546875" style="56" customWidth="1"/>
    <col min="7" max="7" width="7.5703125" style="22" customWidth="1"/>
    <col min="8" max="8" width="7" style="71" customWidth="1"/>
    <col min="9" max="9" width="4.7109375" style="143" customWidth="1"/>
    <col min="10" max="10" width="7" style="71" customWidth="1"/>
    <col min="11" max="11" width="4.7109375" style="143" customWidth="1"/>
    <col min="12" max="12" width="5.140625" style="24" customWidth="1"/>
    <col min="13" max="13" width="24.5703125" style="18" customWidth="1"/>
    <col min="14" max="14" width="3.140625" style="149" hidden="1" customWidth="1"/>
    <col min="15" max="15" width="3.5703125" style="149" hidden="1" customWidth="1"/>
    <col min="16" max="16" width="4.5703125" style="145" hidden="1" customWidth="1"/>
    <col min="17" max="17" width="2.42578125" style="145" hidden="1" customWidth="1"/>
    <col min="18" max="18" width="3.42578125" style="18" hidden="1" customWidth="1"/>
    <col min="19" max="245" width="9.140625" style="18"/>
    <col min="246" max="16384" width="9.140625" style="7"/>
  </cols>
  <sheetData>
    <row r="1" spans="1:246" s="2" customFormat="1" ht="18.75">
      <c r="A1" s="1" t="s">
        <v>0</v>
      </c>
      <c r="E1" s="142"/>
      <c r="F1" s="4"/>
      <c r="G1" s="5"/>
      <c r="H1" s="71"/>
      <c r="I1" s="143"/>
      <c r="J1" s="71"/>
      <c r="K1" s="143"/>
      <c r="L1" s="3"/>
      <c r="N1" s="144"/>
      <c r="O1" s="144"/>
      <c r="P1" s="145"/>
      <c r="Q1" s="145"/>
      <c r="IL1" s="7"/>
    </row>
    <row r="2" spans="1:246" s="2" customFormat="1" ht="13.5" customHeight="1">
      <c r="E2" s="142"/>
      <c r="F2" s="4"/>
      <c r="G2" s="5"/>
      <c r="H2" s="71"/>
      <c r="I2" s="143"/>
      <c r="J2" s="71"/>
      <c r="K2" s="143"/>
      <c r="L2" s="3"/>
      <c r="M2" s="8" t="s">
        <v>1</v>
      </c>
      <c r="N2" s="144"/>
      <c r="O2" s="144"/>
      <c r="P2" s="145"/>
      <c r="Q2" s="145"/>
      <c r="IL2" s="7"/>
    </row>
    <row r="3" spans="1:246" s="9" customFormat="1" ht="4.5" customHeight="1">
      <c r="C3" s="10"/>
      <c r="E3" s="146"/>
      <c r="F3" s="12"/>
      <c r="G3" s="13"/>
      <c r="H3" s="147"/>
      <c r="I3" s="148"/>
      <c r="J3" s="15"/>
      <c r="K3" s="148"/>
      <c r="L3" s="16"/>
      <c r="M3" s="17"/>
      <c r="N3" s="149"/>
      <c r="O3" s="149"/>
      <c r="P3" s="145"/>
      <c r="Q3" s="145"/>
    </row>
    <row r="4" spans="1:246" ht="15.75">
      <c r="C4" s="19" t="s">
        <v>97</v>
      </c>
      <c r="E4" s="150"/>
      <c r="F4" s="21"/>
      <c r="M4" s="25" t="s">
        <v>3</v>
      </c>
    </row>
    <row r="5" spans="1:246" s="9" customFormat="1" ht="4.5" customHeight="1">
      <c r="C5" s="10"/>
      <c r="E5" s="146"/>
      <c r="F5" s="12"/>
      <c r="G5" s="22"/>
      <c r="H5" s="71"/>
      <c r="I5" s="143"/>
      <c r="J5" s="71"/>
      <c r="K5" s="143"/>
      <c r="L5" s="24"/>
      <c r="M5" s="17"/>
      <c r="N5" s="149"/>
      <c r="O5" s="149"/>
      <c r="P5" s="145"/>
      <c r="Q5" s="145"/>
    </row>
    <row r="6" spans="1:246" s="9" customFormat="1" ht="12.75" customHeight="1">
      <c r="C6" s="18"/>
      <c r="D6" s="27"/>
      <c r="E6" s="151" t="s">
        <v>445</v>
      </c>
      <c r="F6" s="29"/>
      <c r="G6" s="22"/>
      <c r="H6" s="71"/>
      <c r="I6" s="143"/>
      <c r="J6" s="71"/>
      <c r="K6" s="143"/>
      <c r="L6" s="24"/>
      <c r="M6" s="17"/>
      <c r="N6" s="149"/>
      <c r="O6" s="149"/>
      <c r="P6" s="145"/>
      <c r="Q6" s="145"/>
    </row>
    <row r="7" spans="1:246" s="9" customFormat="1" ht="6" customHeight="1">
      <c r="E7" s="152"/>
      <c r="F7" s="31"/>
      <c r="G7" s="13"/>
      <c r="H7" s="153"/>
      <c r="I7" s="148"/>
      <c r="J7" s="15"/>
      <c r="K7" s="148"/>
      <c r="L7" s="16"/>
      <c r="M7" s="17"/>
      <c r="N7" s="149"/>
      <c r="O7" s="149"/>
      <c r="P7" s="145"/>
      <c r="Q7" s="145"/>
    </row>
    <row r="8" spans="1:246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100</v>
      </c>
      <c r="I8" s="156" t="s">
        <v>101</v>
      </c>
      <c r="J8" s="155" t="s">
        <v>102</v>
      </c>
      <c r="K8" s="156" t="s">
        <v>101</v>
      </c>
      <c r="L8" s="42" t="s">
        <v>12</v>
      </c>
      <c r="M8" s="33" t="s">
        <v>13</v>
      </c>
      <c r="N8" s="149" t="s">
        <v>103</v>
      </c>
      <c r="O8" s="149" t="s">
        <v>104</v>
      </c>
      <c r="P8" s="157" t="s">
        <v>99</v>
      </c>
      <c r="Q8" s="157" t="s">
        <v>306</v>
      </c>
    </row>
    <row r="9" spans="1:246" s="54" customFormat="1" ht="16.350000000000001" customHeight="1">
      <c r="A9" s="158">
        <v>1</v>
      </c>
      <c r="B9" s="159">
        <v>396</v>
      </c>
      <c r="C9" s="160" t="s">
        <v>147</v>
      </c>
      <c r="D9" s="161" t="s">
        <v>148</v>
      </c>
      <c r="E9" s="47" t="s">
        <v>149</v>
      </c>
      <c r="F9" s="48" t="s">
        <v>17</v>
      </c>
      <c r="G9" s="91">
        <f>IF(ISBLANK(J9),"",TRUNC(24.9*(J9-14)^2))</f>
        <v>1032</v>
      </c>
      <c r="H9" s="275">
        <v>7.69</v>
      </c>
      <c r="I9" s="163">
        <v>0.182</v>
      </c>
      <c r="J9" s="164">
        <v>7.56</v>
      </c>
      <c r="K9" s="163">
        <v>0.27700000000000002</v>
      </c>
      <c r="L9" s="165" t="str">
        <f>IF(ISBLANK(J9),"",IF(J9&gt;9.04,"",IF(J9&lt;=7.25,"TSM",IF(J9&lt;=7.45,"SM",IF(J9&lt;=7.7,"KSM",IF(J9&lt;=8,"I A",IF(J9&lt;=8.44,"II A",IF(J9&lt;=9.04,"III A"))))))))</f>
        <v>KSM</v>
      </c>
      <c r="M9" s="52" t="s">
        <v>40</v>
      </c>
      <c r="N9" s="157" t="s">
        <v>150</v>
      </c>
      <c r="O9" s="166">
        <v>2</v>
      </c>
      <c r="P9" s="167">
        <v>4</v>
      </c>
      <c r="Q9" s="167" t="s">
        <v>467</v>
      </c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</row>
    <row r="10" spans="1:246" s="54" customFormat="1" ht="16.350000000000001" customHeight="1">
      <c r="A10" s="158">
        <v>2</v>
      </c>
      <c r="B10" s="159">
        <v>394</v>
      </c>
      <c r="C10" s="160" t="s">
        <v>165</v>
      </c>
      <c r="D10" s="161" t="s">
        <v>166</v>
      </c>
      <c r="E10" s="47" t="s">
        <v>167</v>
      </c>
      <c r="F10" s="48" t="s">
        <v>17</v>
      </c>
      <c r="G10" s="91">
        <f>IF(ISBLANK(J10),"",TRUNC(24.9*(J10-14)^2))</f>
        <v>985</v>
      </c>
      <c r="H10" s="275">
        <v>7.79</v>
      </c>
      <c r="I10" s="163">
        <v>0.16800000000000001</v>
      </c>
      <c r="J10" s="164">
        <v>7.71</v>
      </c>
      <c r="K10" s="163">
        <v>0.182</v>
      </c>
      <c r="L10" s="165" t="str">
        <f>IF(ISBLANK(J10),"",IF(J10&gt;9.04,"",IF(J10&lt;=7.25,"TSM",IF(J10&lt;=7.45,"SM",IF(J10&lt;=7.7,"KSM",IF(J10&lt;=8,"I A",IF(J10&lt;=8.44,"II A",IF(J10&lt;=9.04,"III A"))))))))</f>
        <v>I A</v>
      </c>
      <c r="M10" s="52" t="s">
        <v>168</v>
      </c>
      <c r="N10" s="157" t="s">
        <v>169</v>
      </c>
      <c r="O10" s="166">
        <v>3</v>
      </c>
      <c r="P10" s="167">
        <v>3</v>
      </c>
      <c r="Q10" s="167" t="s">
        <v>468</v>
      </c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</row>
    <row r="11" spans="1:246" s="54" customFormat="1" ht="16.350000000000001" customHeight="1">
      <c r="A11" s="158">
        <v>3</v>
      </c>
      <c r="B11" s="159">
        <v>355</v>
      </c>
      <c r="C11" s="160" t="s">
        <v>114</v>
      </c>
      <c r="D11" s="161" t="s">
        <v>115</v>
      </c>
      <c r="E11" s="47" t="s">
        <v>116</v>
      </c>
      <c r="F11" s="48" t="s">
        <v>54</v>
      </c>
      <c r="G11" s="91">
        <f>IF(ISBLANK(J11),"",TRUNC(24.9*(J11-14)^2))</f>
        <v>950</v>
      </c>
      <c r="H11" s="275">
        <v>7.88</v>
      </c>
      <c r="I11" s="163">
        <v>0.17</v>
      </c>
      <c r="J11" s="164">
        <v>7.82</v>
      </c>
      <c r="K11" s="163">
        <v>0.17</v>
      </c>
      <c r="L11" s="165" t="str">
        <f>IF(ISBLANK(J11),"",IF(J11&gt;9.04,"",IF(J11&lt;=7.25,"TSM",IF(J11&lt;=7.45,"SM",IF(J11&lt;=7.7,"KSM",IF(J11&lt;=8,"I A",IF(J11&lt;=8.44,"II A",IF(J11&lt;=9.04,"III A"))))))))</f>
        <v>I A</v>
      </c>
      <c r="M11" s="52" t="s">
        <v>117</v>
      </c>
      <c r="N11" s="157" t="s">
        <v>118</v>
      </c>
      <c r="O11" s="166">
        <v>1</v>
      </c>
      <c r="P11" s="167">
        <v>3</v>
      </c>
      <c r="Q11" s="167" t="s">
        <v>469</v>
      </c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</row>
    <row r="12" spans="1:246" s="54" customFormat="1" ht="16.350000000000001" customHeight="1">
      <c r="A12" s="158">
        <v>4</v>
      </c>
      <c r="B12" s="159">
        <v>392</v>
      </c>
      <c r="C12" s="160" t="s">
        <v>105</v>
      </c>
      <c r="D12" s="161" t="s">
        <v>190</v>
      </c>
      <c r="E12" s="47" t="s">
        <v>191</v>
      </c>
      <c r="F12" s="48" t="s">
        <v>17</v>
      </c>
      <c r="G12" s="91">
        <f>IF(ISBLANK(J12),"",TRUNC(24.9*(J12-14)^2))</f>
        <v>929</v>
      </c>
      <c r="H12" s="275">
        <v>7.95</v>
      </c>
      <c r="I12" s="163">
        <v>0.157</v>
      </c>
      <c r="J12" s="164">
        <v>7.89</v>
      </c>
      <c r="K12" s="163">
        <v>0.30199999999999999</v>
      </c>
      <c r="L12" s="165" t="str">
        <f>IF(ISBLANK(J12),"",IF(J12&gt;9.04,"",IF(J12&lt;=7.25,"TSM",IF(J12&lt;=7.45,"SM",IF(J12&lt;=7.7,"KSM",IF(J12&lt;=8,"I A",IF(J12&lt;=8.44,"II A",IF(J12&lt;=9.04,"III A"))))))))</f>
        <v>I A</v>
      </c>
      <c r="M12" s="52" t="s">
        <v>192</v>
      </c>
      <c r="N12" s="157" t="s">
        <v>193</v>
      </c>
      <c r="O12" s="166">
        <v>4</v>
      </c>
      <c r="P12" s="167">
        <v>3</v>
      </c>
      <c r="Q12" s="167" t="s">
        <v>470</v>
      </c>
      <c r="R12" s="53" t="s">
        <v>471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</row>
    <row r="13" spans="1:246" s="54" customFormat="1" ht="16.350000000000001" customHeight="1">
      <c r="A13" s="158">
        <v>5</v>
      </c>
      <c r="B13" s="159">
        <v>258</v>
      </c>
      <c r="C13" s="160" t="s">
        <v>176</v>
      </c>
      <c r="D13" s="161" t="s">
        <v>177</v>
      </c>
      <c r="E13" s="47" t="s">
        <v>178</v>
      </c>
      <c r="F13" s="48" t="s">
        <v>88</v>
      </c>
      <c r="G13" s="91">
        <f>IF(ISBLANK(J13),"",TRUNC(24.9*(J13-14)^2))</f>
        <v>929</v>
      </c>
      <c r="H13" s="275">
        <v>8.0399999999999991</v>
      </c>
      <c r="I13" s="163">
        <v>0.2</v>
      </c>
      <c r="J13" s="164">
        <v>7.89</v>
      </c>
      <c r="K13" s="163">
        <v>2.07E-2</v>
      </c>
      <c r="L13" s="165" t="str">
        <f>IF(ISBLANK(J13),"",IF(J13&gt;9.04,"",IF(J13&lt;=7.25,"TSM",IF(J13&lt;=7.45,"SM",IF(J13&lt;=7.7,"KSM",IF(J13&lt;=8,"I A",IF(J13&lt;=8.44,"II A",IF(J13&lt;=9.04,"III A"))))))))</f>
        <v>I A</v>
      </c>
      <c r="M13" s="52" t="s">
        <v>179</v>
      </c>
      <c r="N13" s="157" t="s">
        <v>180</v>
      </c>
      <c r="O13" s="166">
        <v>3</v>
      </c>
      <c r="P13" s="167">
        <v>5</v>
      </c>
      <c r="Q13" s="167" t="s">
        <v>472</v>
      </c>
      <c r="R13" s="53" t="s">
        <v>331</v>
      </c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</row>
    <row r="14" spans="1:246" s="54" customFormat="1" ht="16.350000000000001" customHeight="1">
      <c r="A14" s="158">
        <v>6</v>
      </c>
      <c r="B14" s="159">
        <v>345</v>
      </c>
      <c r="C14" s="160" t="s">
        <v>51</v>
      </c>
      <c r="D14" s="161" t="s">
        <v>52</v>
      </c>
      <c r="E14" s="47" t="s">
        <v>53</v>
      </c>
      <c r="F14" s="48" t="s">
        <v>54</v>
      </c>
      <c r="G14" s="91">
        <f>IF(ISBLANK(H14),"",TRUNC(24.9*(H14-14)^2))</f>
        <v>852</v>
      </c>
      <c r="H14" s="162">
        <v>8.15</v>
      </c>
      <c r="I14" s="163">
        <v>0.155</v>
      </c>
      <c r="J14" s="276">
        <v>8.17</v>
      </c>
      <c r="K14" s="163">
        <v>0.17599999999999999</v>
      </c>
      <c r="L14" s="165" t="str">
        <f>IF(ISBLANK(H14),"",IF(H14&gt;9.04,"",IF(H14&lt;=7.25,"TSM",IF(H14&lt;=7.45,"SM",IF(H14&lt;=7.7,"KSM",IF(H14&lt;=8,"I A",IF(H14&lt;=8.44,"II A",IF(H14&lt;=9.04,"III A"))))))))</f>
        <v>II A</v>
      </c>
      <c r="M14" s="52" t="s">
        <v>55</v>
      </c>
      <c r="N14" s="157"/>
      <c r="O14" s="166">
        <v>4</v>
      </c>
      <c r="P14" s="167">
        <v>2</v>
      </c>
      <c r="Q14" s="167" t="s">
        <v>473</v>
      </c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</row>
    <row r="16" spans="1:246" ht="11.25" customHeight="1">
      <c r="A16" s="33" t="s">
        <v>29</v>
      </c>
      <c r="B16" s="33" t="s">
        <v>4</v>
      </c>
      <c r="C16" s="35" t="s">
        <v>5</v>
      </c>
      <c r="D16" s="36" t="s">
        <v>6</v>
      </c>
      <c r="E16" s="154" t="s">
        <v>7</v>
      </c>
      <c r="F16" s="38" t="s">
        <v>8</v>
      </c>
      <c r="G16" s="39" t="s">
        <v>9</v>
      </c>
      <c r="H16" s="155" t="s">
        <v>100</v>
      </c>
      <c r="I16" s="156" t="s">
        <v>101</v>
      </c>
      <c r="J16" s="155" t="s">
        <v>102</v>
      </c>
      <c r="K16" s="156" t="s">
        <v>101</v>
      </c>
      <c r="L16" s="42" t="s">
        <v>12</v>
      </c>
      <c r="M16" s="33" t="s">
        <v>13</v>
      </c>
      <c r="N16" s="149" t="s">
        <v>103</v>
      </c>
      <c r="O16" s="149" t="s">
        <v>104</v>
      </c>
      <c r="P16" s="157" t="s">
        <v>99</v>
      </c>
      <c r="Q16" s="157"/>
    </row>
    <row r="17" spans="1:244" s="54" customFormat="1" ht="16.350000000000001" customHeight="1">
      <c r="A17" s="158">
        <v>7</v>
      </c>
      <c r="B17" s="159">
        <v>376</v>
      </c>
      <c r="C17" s="160" t="s">
        <v>124</v>
      </c>
      <c r="D17" s="161" t="s">
        <v>125</v>
      </c>
      <c r="E17" s="47" t="s">
        <v>126</v>
      </c>
      <c r="F17" s="48" t="s">
        <v>17</v>
      </c>
      <c r="G17" s="91">
        <f t="shared" ref="G17:G24" si="0">IF(ISBLANK(H17),"",TRUNC(24.9*(H17-14)^2))</f>
        <v>843</v>
      </c>
      <c r="H17" s="162">
        <v>8.18</v>
      </c>
      <c r="I17" s="163">
        <v>0.32200000000000001</v>
      </c>
      <c r="J17" s="164"/>
      <c r="K17" s="163"/>
      <c r="L17" s="165" t="str">
        <f t="shared" ref="L17:L34" si="1">IF(ISBLANK(H17),"",IF(H17&gt;9.04,"",IF(H17&lt;=7.25,"TSM",IF(H17&lt;=7.45,"SM",IF(H17&lt;=7.7,"KSM",IF(H17&lt;=8,"I A",IF(H17&lt;=8.44,"II A",IF(H17&lt;=9.04,"III A"))))))))</f>
        <v>II A</v>
      </c>
      <c r="M17" s="52" t="s">
        <v>127</v>
      </c>
      <c r="N17" s="157" t="s">
        <v>128</v>
      </c>
      <c r="O17" s="166">
        <v>1</v>
      </c>
      <c r="P17" s="167">
        <v>5</v>
      </c>
      <c r="Q17" s="167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</row>
    <row r="18" spans="1:244" s="54" customFormat="1" ht="16.350000000000001" customHeight="1">
      <c r="A18" s="158">
        <v>8</v>
      </c>
      <c r="B18" s="159">
        <v>390</v>
      </c>
      <c r="C18" s="160" t="s">
        <v>105</v>
      </c>
      <c r="D18" s="161" t="s">
        <v>194</v>
      </c>
      <c r="E18" s="47" t="s">
        <v>195</v>
      </c>
      <c r="F18" s="48" t="s">
        <v>17</v>
      </c>
      <c r="G18" s="91">
        <f t="shared" si="0"/>
        <v>828</v>
      </c>
      <c r="H18" s="162">
        <v>8.23</v>
      </c>
      <c r="I18" s="163">
        <v>0.17399999999999999</v>
      </c>
      <c r="J18" s="164"/>
      <c r="K18" s="163"/>
      <c r="L18" s="165" t="str">
        <f t="shared" si="1"/>
        <v>II A</v>
      </c>
      <c r="M18" s="52" t="s">
        <v>127</v>
      </c>
      <c r="N18" s="157" t="s">
        <v>196</v>
      </c>
      <c r="O18" s="166">
        <v>4</v>
      </c>
      <c r="P18" s="167">
        <v>4</v>
      </c>
      <c r="Q18" s="167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</row>
    <row r="19" spans="1:244" s="54" customFormat="1" ht="16.350000000000001" customHeight="1">
      <c r="A19" s="158">
        <v>9</v>
      </c>
      <c r="B19" s="159">
        <v>354</v>
      </c>
      <c r="C19" s="160" t="s">
        <v>129</v>
      </c>
      <c r="D19" s="161" t="s">
        <v>130</v>
      </c>
      <c r="E19" s="47" t="s">
        <v>131</v>
      </c>
      <c r="F19" s="48" t="s">
        <v>54</v>
      </c>
      <c r="G19" s="91">
        <f t="shared" si="0"/>
        <v>715</v>
      </c>
      <c r="H19" s="162">
        <v>8.64</v>
      </c>
      <c r="I19" s="163">
        <v>0.184</v>
      </c>
      <c r="J19" s="164"/>
      <c r="K19" s="163"/>
      <c r="L19" s="165" t="str">
        <f t="shared" si="1"/>
        <v>III A</v>
      </c>
      <c r="M19" s="52" t="s">
        <v>132</v>
      </c>
      <c r="N19" s="157" t="s">
        <v>108</v>
      </c>
      <c r="O19" s="166">
        <v>1</v>
      </c>
      <c r="P19" s="167">
        <v>6</v>
      </c>
      <c r="Q19" s="167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</row>
    <row r="20" spans="1:244" s="54" customFormat="1" ht="16.350000000000001" customHeight="1">
      <c r="A20" s="158">
        <v>10</v>
      </c>
      <c r="B20" s="159">
        <v>371</v>
      </c>
      <c r="C20" s="160" t="s">
        <v>25</v>
      </c>
      <c r="D20" s="161" t="s">
        <v>186</v>
      </c>
      <c r="E20" s="47" t="s">
        <v>187</v>
      </c>
      <c r="F20" s="48" t="s">
        <v>184</v>
      </c>
      <c r="G20" s="91">
        <f t="shared" si="0"/>
        <v>696</v>
      </c>
      <c r="H20" s="162">
        <v>8.7100000000000009</v>
      </c>
      <c r="I20" s="163">
        <v>0.16600000000000001</v>
      </c>
      <c r="J20" s="164"/>
      <c r="K20" s="163"/>
      <c r="L20" s="165" t="str">
        <f t="shared" si="1"/>
        <v>III A</v>
      </c>
      <c r="M20" s="52" t="s">
        <v>188</v>
      </c>
      <c r="N20" s="157" t="s">
        <v>189</v>
      </c>
      <c r="O20" s="166">
        <v>4</v>
      </c>
      <c r="P20" s="167">
        <v>1</v>
      </c>
      <c r="Q20" s="167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</row>
    <row r="21" spans="1:244" s="54" customFormat="1" ht="16.350000000000001" customHeight="1">
      <c r="A21" s="158">
        <v>11</v>
      </c>
      <c r="B21" s="159">
        <v>350</v>
      </c>
      <c r="C21" s="160" t="s">
        <v>152</v>
      </c>
      <c r="D21" s="161" t="s">
        <v>153</v>
      </c>
      <c r="E21" s="47" t="s">
        <v>154</v>
      </c>
      <c r="F21" s="48" t="s">
        <v>54</v>
      </c>
      <c r="G21" s="91">
        <f t="shared" si="0"/>
        <v>691</v>
      </c>
      <c r="H21" s="162">
        <v>8.73</v>
      </c>
      <c r="I21" s="163">
        <v>0.26900000000000002</v>
      </c>
      <c r="J21" s="164"/>
      <c r="K21" s="163"/>
      <c r="L21" s="165" t="str">
        <f t="shared" si="1"/>
        <v>III A</v>
      </c>
      <c r="M21" s="52" t="s">
        <v>155</v>
      </c>
      <c r="N21" s="157" t="s">
        <v>156</v>
      </c>
      <c r="O21" s="166">
        <v>2</v>
      </c>
      <c r="P21" s="167">
        <v>6</v>
      </c>
      <c r="Q21" s="167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</row>
    <row r="22" spans="1:244" s="54" customFormat="1" ht="16.350000000000001" customHeight="1">
      <c r="A22" s="158">
        <v>12</v>
      </c>
      <c r="B22" s="159">
        <v>356</v>
      </c>
      <c r="C22" s="160" t="s">
        <v>161</v>
      </c>
      <c r="D22" s="161" t="s">
        <v>162</v>
      </c>
      <c r="E22" s="47" t="s">
        <v>163</v>
      </c>
      <c r="F22" s="48" t="s">
        <v>54</v>
      </c>
      <c r="G22" s="91">
        <f t="shared" si="0"/>
        <v>683</v>
      </c>
      <c r="H22" s="162">
        <v>8.76</v>
      </c>
      <c r="I22" s="163">
        <v>0.19800000000000001</v>
      </c>
      <c r="J22" s="164"/>
      <c r="K22" s="163"/>
      <c r="L22" s="165" t="str">
        <f t="shared" si="1"/>
        <v>III A</v>
      </c>
      <c r="M22" s="52" t="s">
        <v>79</v>
      </c>
      <c r="N22" s="157" t="s">
        <v>164</v>
      </c>
      <c r="O22" s="166">
        <v>3</v>
      </c>
      <c r="P22" s="167">
        <v>2</v>
      </c>
      <c r="Q22" s="167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</row>
    <row r="23" spans="1:244" s="54" customFormat="1" ht="16.350000000000001" customHeight="1">
      <c r="A23" s="158">
        <v>13</v>
      </c>
      <c r="B23" s="159">
        <v>365</v>
      </c>
      <c r="C23" s="160" t="s">
        <v>181</v>
      </c>
      <c r="D23" s="161" t="s">
        <v>182</v>
      </c>
      <c r="E23" s="47" t="s">
        <v>183</v>
      </c>
      <c r="F23" s="48" t="s">
        <v>184</v>
      </c>
      <c r="G23" s="91">
        <f t="shared" si="0"/>
        <v>670</v>
      </c>
      <c r="H23" s="162">
        <v>8.81</v>
      </c>
      <c r="I23" s="163">
        <v>0.23499999999999999</v>
      </c>
      <c r="J23" s="164"/>
      <c r="K23" s="163"/>
      <c r="L23" s="165" t="str">
        <f t="shared" si="1"/>
        <v>III A</v>
      </c>
      <c r="M23" s="52" t="s">
        <v>127</v>
      </c>
      <c r="N23" s="157" t="s">
        <v>185</v>
      </c>
      <c r="O23" s="166">
        <v>3</v>
      </c>
      <c r="P23" s="167">
        <v>6</v>
      </c>
      <c r="Q23" s="167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</row>
    <row r="24" spans="1:244" s="54" customFormat="1" ht="16.350000000000001" customHeight="1">
      <c r="A24" s="158">
        <v>14</v>
      </c>
      <c r="B24" s="159">
        <v>360</v>
      </c>
      <c r="C24" s="160" t="s">
        <v>133</v>
      </c>
      <c r="D24" s="161" t="s">
        <v>134</v>
      </c>
      <c r="E24" s="47" t="s">
        <v>135</v>
      </c>
      <c r="F24" s="48" t="s">
        <v>54</v>
      </c>
      <c r="G24" s="91">
        <f t="shared" si="0"/>
        <v>580</v>
      </c>
      <c r="H24" s="162">
        <v>9.17</v>
      </c>
      <c r="I24" s="163">
        <v>0.26400000000000001</v>
      </c>
      <c r="J24" s="164"/>
      <c r="K24" s="163"/>
      <c r="L24" s="165" t="str">
        <f t="shared" si="1"/>
        <v/>
      </c>
      <c r="M24" s="52" t="s">
        <v>79</v>
      </c>
      <c r="N24" s="157" t="s">
        <v>108</v>
      </c>
      <c r="O24" s="166">
        <v>2</v>
      </c>
      <c r="P24" s="167">
        <v>1</v>
      </c>
      <c r="Q24" s="167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</row>
    <row r="25" spans="1:244" s="54" customFormat="1" ht="16.350000000000001" customHeight="1">
      <c r="A25" s="158" t="s">
        <v>23</v>
      </c>
      <c r="B25" s="159">
        <v>270</v>
      </c>
      <c r="C25" s="160" t="s">
        <v>170</v>
      </c>
      <c r="D25" s="161" t="s">
        <v>171</v>
      </c>
      <c r="E25" s="47" t="s">
        <v>172</v>
      </c>
      <c r="F25" s="48" t="s">
        <v>173</v>
      </c>
      <c r="G25" s="163" t="s">
        <v>23</v>
      </c>
      <c r="H25" s="162">
        <v>7.53</v>
      </c>
      <c r="I25" s="163">
        <v>0.14499999999999999</v>
      </c>
      <c r="J25" s="164"/>
      <c r="K25" s="163"/>
      <c r="L25" s="165" t="str">
        <f t="shared" si="1"/>
        <v>KSM</v>
      </c>
      <c r="M25" s="52" t="s">
        <v>174</v>
      </c>
      <c r="N25" s="157" t="s">
        <v>175</v>
      </c>
      <c r="O25" s="166">
        <v>3</v>
      </c>
      <c r="P25" s="167">
        <v>4</v>
      </c>
      <c r="Q25" s="167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</row>
    <row r="26" spans="1:244" s="54" customFormat="1" ht="16.350000000000001" customHeight="1">
      <c r="A26" s="158" t="s">
        <v>23</v>
      </c>
      <c r="B26" s="159">
        <v>269</v>
      </c>
      <c r="C26" s="160" t="s">
        <v>141</v>
      </c>
      <c r="D26" s="161" t="s">
        <v>142</v>
      </c>
      <c r="E26" s="47" t="s">
        <v>143</v>
      </c>
      <c r="F26" s="48" t="s">
        <v>144</v>
      </c>
      <c r="G26" s="163" t="s">
        <v>23</v>
      </c>
      <c r="H26" s="162">
        <v>7.9</v>
      </c>
      <c r="I26" s="163">
        <v>0.14799999999999999</v>
      </c>
      <c r="J26" s="164"/>
      <c r="K26" s="163"/>
      <c r="L26" s="165" t="str">
        <f t="shared" si="1"/>
        <v>I A</v>
      </c>
      <c r="M26" s="52" t="s">
        <v>145</v>
      </c>
      <c r="N26" s="157" t="s">
        <v>146</v>
      </c>
      <c r="O26" s="166">
        <v>2</v>
      </c>
      <c r="P26" s="167">
        <v>3</v>
      </c>
      <c r="Q26" s="167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</row>
    <row r="27" spans="1:244" s="54" customFormat="1" ht="16.350000000000001" customHeight="1">
      <c r="A27" s="158" t="s">
        <v>23</v>
      </c>
      <c r="B27" s="159">
        <v>268</v>
      </c>
      <c r="C27" s="160" t="s">
        <v>73</v>
      </c>
      <c r="D27" s="161" t="s">
        <v>119</v>
      </c>
      <c r="E27" s="47" t="s">
        <v>120</v>
      </c>
      <c r="F27" s="48" t="s">
        <v>121</v>
      </c>
      <c r="G27" s="163" t="s">
        <v>23</v>
      </c>
      <c r="H27" s="162">
        <v>7.98</v>
      </c>
      <c r="I27" s="163">
        <v>0.14099999999999999</v>
      </c>
      <c r="J27" s="164"/>
      <c r="K27" s="163"/>
      <c r="L27" s="165" t="str">
        <f t="shared" si="1"/>
        <v>I A</v>
      </c>
      <c r="M27" s="52" t="s">
        <v>122</v>
      </c>
      <c r="N27" s="157" t="s">
        <v>123</v>
      </c>
      <c r="O27" s="166">
        <v>1</v>
      </c>
      <c r="P27" s="167">
        <v>4</v>
      </c>
      <c r="Q27" s="167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</row>
    <row r="28" spans="1:244" s="54" customFormat="1" ht="16.350000000000001" customHeight="1">
      <c r="A28" s="158" t="s">
        <v>23</v>
      </c>
      <c r="B28" s="159">
        <v>300</v>
      </c>
      <c r="C28" s="160" t="s">
        <v>66</v>
      </c>
      <c r="D28" s="161" t="s">
        <v>67</v>
      </c>
      <c r="E28" s="47" t="s">
        <v>68</v>
      </c>
      <c r="F28" s="48" t="s">
        <v>22</v>
      </c>
      <c r="G28" s="163" t="s">
        <v>23</v>
      </c>
      <c r="H28" s="162">
        <v>8.06</v>
      </c>
      <c r="I28" s="163">
        <v>0.17799999999999999</v>
      </c>
      <c r="J28" s="164"/>
      <c r="K28" s="163"/>
      <c r="L28" s="165" t="str">
        <f t="shared" si="1"/>
        <v>II A</v>
      </c>
      <c r="M28" s="52" t="s">
        <v>69</v>
      </c>
      <c r="N28" s="157" t="s">
        <v>151</v>
      </c>
      <c r="O28" s="166">
        <v>2</v>
      </c>
      <c r="P28" s="167">
        <v>5</v>
      </c>
      <c r="Q28" s="167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</row>
    <row r="29" spans="1:244" s="54" customFormat="1" ht="16.350000000000001" customHeight="1">
      <c r="A29" s="158" t="s">
        <v>23</v>
      </c>
      <c r="B29" s="159">
        <v>398</v>
      </c>
      <c r="C29" s="160" t="s">
        <v>197</v>
      </c>
      <c r="D29" s="161" t="s">
        <v>198</v>
      </c>
      <c r="E29" s="47" t="s">
        <v>199</v>
      </c>
      <c r="F29" s="48" t="s">
        <v>200</v>
      </c>
      <c r="G29" s="163" t="s">
        <v>23</v>
      </c>
      <c r="H29" s="162">
        <v>8.16</v>
      </c>
      <c r="I29" s="163">
        <v>0.20300000000000001</v>
      </c>
      <c r="J29" s="164"/>
      <c r="K29" s="163"/>
      <c r="L29" s="165" t="str">
        <f t="shared" si="1"/>
        <v>II A</v>
      </c>
      <c r="M29" s="52" t="s">
        <v>201</v>
      </c>
      <c r="N29" s="157"/>
      <c r="O29" s="166">
        <v>4</v>
      </c>
      <c r="P29" s="167">
        <v>5</v>
      </c>
      <c r="Q29" s="167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</row>
    <row r="30" spans="1:244" s="54" customFormat="1" ht="16.350000000000001" customHeight="1">
      <c r="A30" s="158" t="s">
        <v>23</v>
      </c>
      <c r="B30" s="159">
        <v>267</v>
      </c>
      <c r="C30" s="160" t="s">
        <v>109</v>
      </c>
      <c r="D30" s="161" t="s">
        <v>110</v>
      </c>
      <c r="E30" s="47" t="s">
        <v>111</v>
      </c>
      <c r="F30" s="48" t="s">
        <v>112</v>
      </c>
      <c r="G30" s="163" t="s">
        <v>23</v>
      </c>
      <c r="H30" s="162">
        <v>8.1999999999999993</v>
      </c>
      <c r="I30" s="163">
        <v>0.219</v>
      </c>
      <c r="J30" s="164"/>
      <c r="K30" s="163"/>
      <c r="L30" s="165" t="str">
        <f t="shared" si="1"/>
        <v>II A</v>
      </c>
      <c r="M30" s="52" t="s">
        <v>65</v>
      </c>
      <c r="N30" s="157" t="s">
        <v>113</v>
      </c>
      <c r="O30" s="166">
        <v>1</v>
      </c>
      <c r="P30" s="167">
        <v>2</v>
      </c>
      <c r="Q30" s="167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</row>
    <row r="31" spans="1:244" s="54" customFormat="1" ht="16.350000000000001" customHeight="1">
      <c r="A31" s="158" t="s">
        <v>23</v>
      </c>
      <c r="B31" s="159">
        <v>301</v>
      </c>
      <c r="C31" s="160" t="s">
        <v>14</v>
      </c>
      <c r="D31" s="161" t="s">
        <v>136</v>
      </c>
      <c r="E31" s="47" t="s">
        <v>137</v>
      </c>
      <c r="F31" s="48" t="s">
        <v>138</v>
      </c>
      <c r="G31" s="163" t="s">
        <v>23</v>
      </c>
      <c r="H31" s="162">
        <v>8.35</v>
      </c>
      <c r="I31" s="163">
        <v>0.27500000000000002</v>
      </c>
      <c r="J31" s="164"/>
      <c r="K31" s="163"/>
      <c r="L31" s="165" t="str">
        <f t="shared" si="1"/>
        <v>II A</v>
      </c>
      <c r="M31" s="52" t="s">
        <v>139</v>
      </c>
      <c r="N31" s="157" t="s">
        <v>140</v>
      </c>
      <c r="O31" s="166">
        <v>2</v>
      </c>
      <c r="P31" s="167">
        <v>2</v>
      </c>
      <c r="Q31" s="167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</row>
    <row r="32" spans="1:244" s="54" customFormat="1" ht="16.350000000000001" customHeight="1">
      <c r="A32" s="158" t="s">
        <v>23</v>
      </c>
      <c r="B32" s="159">
        <v>333</v>
      </c>
      <c r="C32" s="160" t="s">
        <v>202</v>
      </c>
      <c r="D32" s="161" t="s">
        <v>203</v>
      </c>
      <c r="E32" s="47" t="s">
        <v>204</v>
      </c>
      <c r="F32" s="48" t="s">
        <v>205</v>
      </c>
      <c r="G32" s="163" t="s">
        <v>23</v>
      </c>
      <c r="H32" s="162">
        <v>8.7899999999999991</v>
      </c>
      <c r="I32" s="163">
        <v>0.16400000000000001</v>
      </c>
      <c r="J32" s="164"/>
      <c r="K32" s="163"/>
      <c r="L32" s="165" t="str">
        <f t="shared" si="1"/>
        <v>III A</v>
      </c>
      <c r="M32" s="52" t="s">
        <v>206</v>
      </c>
      <c r="N32" s="157"/>
      <c r="O32" s="166">
        <v>4</v>
      </c>
      <c r="P32" s="167">
        <v>6</v>
      </c>
      <c r="Q32" s="167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</row>
    <row r="33" spans="1:244" s="54" customFormat="1" ht="16.350000000000001" customHeight="1">
      <c r="A33" s="158"/>
      <c r="B33" s="159">
        <v>236</v>
      </c>
      <c r="C33" s="160" t="s">
        <v>105</v>
      </c>
      <c r="D33" s="161" t="s">
        <v>72</v>
      </c>
      <c r="E33" s="47" t="s">
        <v>106</v>
      </c>
      <c r="F33" s="48" t="s">
        <v>44</v>
      </c>
      <c r="G33" s="91"/>
      <c r="H33" s="162" t="s">
        <v>30</v>
      </c>
      <c r="I33" s="163"/>
      <c r="J33" s="164"/>
      <c r="K33" s="163"/>
      <c r="L33" s="165" t="str">
        <f t="shared" si="1"/>
        <v/>
      </c>
      <c r="M33" s="52" t="s">
        <v>107</v>
      </c>
      <c r="N33" s="157" t="s">
        <v>108</v>
      </c>
      <c r="O33" s="166">
        <v>1</v>
      </c>
      <c r="P33" s="167">
        <v>1</v>
      </c>
      <c r="Q33" s="167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</row>
    <row r="34" spans="1:244" s="54" customFormat="1" ht="16.350000000000001" customHeight="1">
      <c r="A34" s="158"/>
      <c r="B34" s="159">
        <v>324</v>
      </c>
      <c r="C34" s="160" t="s">
        <v>157</v>
      </c>
      <c r="D34" s="161" t="s">
        <v>158</v>
      </c>
      <c r="E34" s="47" t="s">
        <v>159</v>
      </c>
      <c r="F34" s="48" t="s">
        <v>22</v>
      </c>
      <c r="G34" s="163" t="s">
        <v>23</v>
      </c>
      <c r="H34" s="162" t="s">
        <v>30</v>
      </c>
      <c r="I34" s="163"/>
      <c r="J34" s="164"/>
      <c r="K34" s="163"/>
      <c r="L34" s="165" t="str">
        <f t="shared" si="1"/>
        <v/>
      </c>
      <c r="M34" s="52" t="s">
        <v>160</v>
      </c>
      <c r="N34" s="157" t="s">
        <v>108</v>
      </c>
      <c r="O34" s="166">
        <v>3</v>
      </c>
      <c r="P34" s="167">
        <v>1</v>
      </c>
      <c r="Q34" s="167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</row>
  </sheetData>
  <printOptions horizontalCentered="1"/>
  <pageMargins left="0.9055118110236221" right="0.39370078740157483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3"/>
  <sheetViews>
    <sheetView showZeros="0" zoomScaleNormal="100" workbookViewId="0">
      <selection activeCell="F30" sqref="F30"/>
    </sheetView>
  </sheetViews>
  <sheetFormatPr defaultColWidth="9.140625" defaultRowHeight="12.75"/>
  <cols>
    <col min="1" max="1" width="5.5703125" style="9" customWidth="1"/>
    <col min="2" max="2" width="4.5703125" style="9" customWidth="1"/>
    <col min="3" max="3" width="8" style="9" customWidth="1"/>
    <col min="4" max="4" width="14.7109375" style="9" customWidth="1"/>
    <col min="5" max="5" width="11.7109375" style="16" customWidth="1"/>
    <col min="6" max="6" width="8.7109375" style="67" customWidth="1"/>
    <col min="7" max="7" width="7.5703125" style="68" customWidth="1"/>
    <col min="8" max="10" width="6.140625" style="69" customWidth="1"/>
    <col min="11" max="11" width="3.85546875" style="70" customWidth="1"/>
    <col min="12" max="12" width="6.140625" style="69" customWidth="1"/>
    <col min="13" max="14" width="5.85546875" style="69" customWidth="1"/>
    <col min="15" max="15" width="7.28515625" style="71" customWidth="1"/>
    <col min="16" max="16" width="6.5703125" style="64" customWidth="1"/>
    <col min="17" max="17" width="28.85546875" style="9" customWidth="1"/>
    <col min="18" max="18" width="5.28515625" style="9" customWidth="1"/>
    <col min="19" max="16384" width="9.140625" style="9"/>
  </cols>
  <sheetData>
    <row r="1" spans="1:23" s="64" customFormat="1" ht="20.25">
      <c r="A1" s="1" t="s">
        <v>0</v>
      </c>
      <c r="B1" s="57"/>
      <c r="C1" s="58"/>
      <c r="D1" s="57"/>
      <c r="E1" s="59"/>
      <c r="F1" s="60"/>
      <c r="G1" s="61"/>
      <c r="H1" s="62"/>
      <c r="I1" s="62"/>
      <c r="J1" s="62"/>
      <c r="K1" s="57"/>
      <c r="L1" s="62"/>
      <c r="M1" s="62"/>
      <c r="N1" s="62"/>
      <c r="O1" s="62"/>
      <c r="P1" s="57"/>
      <c r="Q1" s="57"/>
    </row>
    <row r="2" spans="1:23" s="64" customFormat="1" ht="12" customHeight="1">
      <c r="A2" s="57"/>
      <c r="B2" s="57"/>
      <c r="C2" s="57"/>
      <c r="D2" s="57"/>
      <c r="E2" s="65"/>
      <c r="F2" s="66"/>
      <c r="G2" s="61"/>
      <c r="H2" s="62"/>
      <c r="I2" s="62"/>
      <c r="J2" s="62"/>
      <c r="K2" s="57"/>
      <c r="L2" s="62"/>
      <c r="M2" s="62"/>
      <c r="N2" s="62"/>
      <c r="O2" s="62"/>
      <c r="P2" s="57"/>
      <c r="Q2" s="8" t="s">
        <v>1</v>
      </c>
    </row>
    <row r="3" spans="1:23" ht="12.75" customHeight="1">
      <c r="C3" s="10"/>
      <c r="L3" s="15"/>
      <c r="M3" s="15"/>
      <c r="Q3" s="25" t="s">
        <v>3</v>
      </c>
    </row>
    <row r="4" spans="1:23" ht="16.5" customHeight="1">
      <c r="C4" s="1" t="s">
        <v>638</v>
      </c>
      <c r="E4" s="73"/>
      <c r="L4" s="15"/>
      <c r="M4" s="15"/>
      <c r="Q4" s="311"/>
    </row>
    <row r="5" spans="1:23" s="70" customFormat="1" ht="2.1" customHeight="1">
      <c r="W5" s="74"/>
    </row>
    <row r="6" spans="1:23" s="70" customFormat="1" ht="2.1" customHeight="1">
      <c r="W6" s="74"/>
    </row>
    <row r="7" spans="1:23">
      <c r="H7" s="502" t="s">
        <v>32</v>
      </c>
      <c r="I7" s="503"/>
      <c r="J7" s="503"/>
      <c r="K7" s="503"/>
      <c r="L7" s="503"/>
      <c r="M7" s="503"/>
      <c r="N7" s="504"/>
    </row>
    <row r="8" spans="1:23" ht="22.5" customHeight="1">
      <c r="A8" s="312" t="s">
        <v>29</v>
      </c>
      <c r="B8" s="313" t="s">
        <v>4</v>
      </c>
      <c r="C8" s="314" t="s">
        <v>5</v>
      </c>
      <c r="D8" s="315" t="s">
        <v>6</v>
      </c>
      <c r="E8" s="316" t="s">
        <v>7</v>
      </c>
      <c r="F8" s="317" t="s">
        <v>8</v>
      </c>
      <c r="G8" s="318" t="s">
        <v>9</v>
      </c>
      <c r="H8" s="319">
        <v>1</v>
      </c>
      <c r="I8" s="319">
        <v>2</v>
      </c>
      <c r="J8" s="319">
        <v>3</v>
      </c>
      <c r="K8" s="320" t="s">
        <v>33</v>
      </c>
      <c r="L8" s="319">
        <v>4</v>
      </c>
      <c r="M8" s="319">
        <v>5</v>
      </c>
      <c r="N8" s="319">
        <v>6</v>
      </c>
      <c r="O8" s="321" t="s">
        <v>34</v>
      </c>
      <c r="P8" s="313" t="s">
        <v>35</v>
      </c>
      <c r="Q8" s="313" t="s">
        <v>13</v>
      </c>
      <c r="R8" s="322"/>
    </row>
    <row r="9" spans="1:23" s="96" customFormat="1" ht="20.100000000000001" customHeight="1">
      <c r="A9" s="85">
        <v>1</v>
      </c>
      <c r="B9" s="323">
        <v>285</v>
      </c>
      <c r="C9" s="324" t="s">
        <v>46</v>
      </c>
      <c r="D9" s="325" t="s">
        <v>47</v>
      </c>
      <c r="E9" s="326" t="s">
        <v>48</v>
      </c>
      <c r="F9" s="327" t="s">
        <v>49</v>
      </c>
      <c r="G9" s="328">
        <f>IF(ISBLANK(O9),"",TRUNC(0.4282*(O9+105.53)^2)-5000)</f>
        <v>920</v>
      </c>
      <c r="H9" s="329">
        <v>11.37</v>
      </c>
      <c r="I9" s="329" t="s">
        <v>39</v>
      </c>
      <c r="J9" s="329">
        <v>12.01</v>
      </c>
      <c r="K9" s="330">
        <v>3</v>
      </c>
      <c r="L9" s="329">
        <v>12.06</v>
      </c>
      <c r="M9" s="329" t="s">
        <v>39</v>
      </c>
      <c r="N9" s="329">
        <v>12.04</v>
      </c>
      <c r="O9" s="321">
        <f>MAX(H9:J9,L9:N9)</f>
        <v>12.06</v>
      </c>
      <c r="P9" s="329" t="str">
        <f>IF(ISBLANK(O9),"",IF(O9&lt;10.4,"",IF(O9&gt;=14,"TSM",IF(O9&gt;=13.45,"SM",IF(O9&gt;=12.8,"KSM",IF(O9&gt;=12,"I A",IF(O9&gt;=11.2,"II A",IF(O9&gt;=10.4,"III A"))))))))</f>
        <v>I A</v>
      </c>
      <c r="Q9" s="331" t="s">
        <v>50</v>
      </c>
      <c r="R9" s="95"/>
    </row>
    <row r="10" spans="1:23" s="96" customFormat="1" ht="20.100000000000001" customHeight="1">
      <c r="A10" s="85">
        <v>2</v>
      </c>
      <c r="B10" s="323">
        <v>354</v>
      </c>
      <c r="C10" s="324" t="s">
        <v>129</v>
      </c>
      <c r="D10" s="325" t="s">
        <v>130</v>
      </c>
      <c r="E10" s="326" t="s">
        <v>131</v>
      </c>
      <c r="F10" s="327" t="s">
        <v>54</v>
      </c>
      <c r="G10" s="328">
        <f>IF(ISBLANK(O10),"",TRUNC(0.4282*(O10+105.53)^2)-5000)</f>
        <v>920</v>
      </c>
      <c r="H10" s="329">
        <v>12.06</v>
      </c>
      <c r="I10" s="329" t="s">
        <v>39</v>
      </c>
      <c r="J10" s="329" t="s">
        <v>39</v>
      </c>
      <c r="K10" s="330">
        <v>4</v>
      </c>
      <c r="L10" s="329">
        <v>11.23</v>
      </c>
      <c r="M10" s="329" t="s">
        <v>39</v>
      </c>
      <c r="N10" s="329" t="s">
        <v>39</v>
      </c>
      <c r="O10" s="321">
        <f>MAX(H10:J10,L10:N10)</f>
        <v>12.06</v>
      </c>
      <c r="P10" s="329" t="str">
        <f>IF(ISBLANK(O10),"",IF(O10&lt;10.4,"",IF(O10&gt;=14,"TSM",IF(O10&gt;=13.45,"SM",IF(O10&gt;=12.8,"KSM",IF(O10&gt;=12,"I A",IF(O10&gt;=11.2,"II A",IF(O10&gt;=10.4,"III A"))))))))</f>
        <v>I A</v>
      </c>
      <c r="Q10" s="331" t="s">
        <v>132</v>
      </c>
      <c r="R10" s="95"/>
    </row>
    <row r="11" spans="1:23" s="96" customFormat="1" ht="20.100000000000001" customHeight="1">
      <c r="A11" s="85">
        <v>3</v>
      </c>
      <c r="B11" s="323">
        <v>381</v>
      </c>
      <c r="C11" s="324" t="s">
        <v>14</v>
      </c>
      <c r="D11" s="325" t="s">
        <v>639</v>
      </c>
      <c r="E11" s="326" t="s">
        <v>640</v>
      </c>
      <c r="F11" s="327" t="s">
        <v>17</v>
      </c>
      <c r="G11" s="328">
        <f>IF(ISBLANK(O11),"",TRUNC(0.4282*(O11+105.53)^2)-5000)</f>
        <v>873</v>
      </c>
      <c r="H11" s="329">
        <v>10.97</v>
      </c>
      <c r="I11" s="329">
        <v>11.18</v>
      </c>
      <c r="J11" s="329" t="s">
        <v>108</v>
      </c>
      <c r="K11" s="330">
        <v>2</v>
      </c>
      <c r="L11" s="329" t="s">
        <v>108</v>
      </c>
      <c r="M11" s="329" t="s">
        <v>108</v>
      </c>
      <c r="N11" s="329">
        <v>11.59</v>
      </c>
      <c r="O11" s="321">
        <f>MAX(H11:J11,L11:N11)</f>
        <v>11.59</v>
      </c>
      <c r="P11" s="329" t="str">
        <f>IF(ISBLANK(O11),"",IF(O11&lt;10.4,"",IF(O11&gt;=14,"TSM",IF(O11&gt;=13.45,"SM",IF(O11&gt;=12.8,"KSM",IF(O11&gt;=12,"I A",IF(O11&gt;=11.2,"II A",IF(O11&gt;=10.4,"III A"))))))))</f>
        <v>II A</v>
      </c>
      <c r="Q11" s="331" t="s">
        <v>641</v>
      </c>
      <c r="R11" s="95"/>
    </row>
    <row r="12" spans="1:23" s="96" customFormat="1" ht="20.100000000000001" customHeight="1">
      <c r="A12" s="85">
        <v>4</v>
      </c>
      <c r="B12" s="323">
        <v>236</v>
      </c>
      <c r="C12" s="324" t="s">
        <v>105</v>
      </c>
      <c r="D12" s="325" t="s">
        <v>72</v>
      </c>
      <c r="E12" s="326" t="s">
        <v>106</v>
      </c>
      <c r="F12" s="327" t="s">
        <v>44</v>
      </c>
      <c r="G12" s="328">
        <f>IF(ISBLANK(O12),"",TRUNC(0.4282*(O12+105.53)^2)-5000)</f>
        <v>681</v>
      </c>
      <c r="H12" s="329" t="s">
        <v>39</v>
      </c>
      <c r="I12" s="329">
        <v>9.66</v>
      </c>
      <c r="J12" s="329" t="s">
        <v>39</v>
      </c>
      <c r="K12" s="330">
        <v>1</v>
      </c>
      <c r="L12" s="329" t="s">
        <v>39</v>
      </c>
      <c r="M12" s="329" t="s">
        <v>39</v>
      </c>
      <c r="N12" s="329" t="s">
        <v>39</v>
      </c>
      <c r="O12" s="321">
        <f>MAX(H12:J12,L12:N12)</f>
        <v>9.66</v>
      </c>
      <c r="P12" s="329" t="str">
        <f>IF(ISBLANK(O12),"",IF(O12&lt;10.4,"",IF(O12&gt;=14,"TSM",IF(O12&gt;=13.45,"SM",IF(O12&gt;=12.8,"KSM",IF(O12&gt;=12,"I A",IF(O12&gt;=11.2,"II A",IF(O12&gt;=10.4,"III A"))))))))</f>
        <v/>
      </c>
      <c r="Q12" s="331" t="s">
        <v>107</v>
      </c>
      <c r="R12" s="95"/>
    </row>
    <row r="13" spans="1:23" s="96" customFormat="1" ht="20.100000000000001" customHeight="1">
      <c r="A13" s="85"/>
      <c r="B13" s="323">
        <v>359</v>
      </c>
      <c r="C13" s="324" t="s">
        <v>642</v>
      </c>
      <c r="D13" s="325" t="s">
        <v>643</v>
      </c>
      <c r="E13" s="326" t="s">
        <v>420</v>
      </c>
      <c r="F13" s="327" t="s">
        <v>54</v>
      </c>
      <c r="G13" s="328" t="e">
        <f>IF(ISBLANK(O13),"",TRUNC(0.4282*(O13+105.53)^2)-5000)</f>
        <v>#VALUE!</v>
      </c>
      <c r="H13" s="329"/>
      <c r="I13" s="329"/>
      <c r="J13" s="329"/>
      <c r="K13" s="330"/>
      <c r="L13" s="329"/>
      <c r="M13" s="329"/>
      <c r="N13" s="329"/>
      <c r="O13" s="321" t="s">
        <v>30</v>
      </c>
      <c r="P13" s="329"/>
      <c r="Q13" s="331" t="s">
        <v>55</v>
      </c>
      <c r="R13" s="95"/>
    </row>
  </sheetData>
  <mergeCells count="1">
    <mergeCell ref="H7:N7"/>
  </mergeCells>
  <printOptions horizontalCentered="1"/>
  <pageMargins left="0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5"/>
  <sheetViews>
    <sheetView showZeros="0" zoomScaleNormal="100" workbookViewId="0">
      <selection activeCell="A2" sqref="A2"/>
    </sheetView>
  </sheetViews>
  <sheetFormatPr defaultColWidth="9.140625" defaultRowHeight="12.75"/>
  <cols>
    <col min="1" max="1" width="5.5703125" style="9" customWidth="1"/>
    <col min="2" max="2" width="4.5703125" style="9" customWidth="1"/>
    <col min="3" max="3" width="13.140625" style="9" customWidth="1"/>
    <col min="4" max="4" width="16.5703125" style="9" customWidth="1"/>
    <col min="5" max="5" width="10.5703125" style="16" customWidth="1"/>
    <col min="6" max="6" width="9.5703125" style="67" customWidth="1"/>
    <col min="7" max="7" width="7.5703125" style="68" customWidth="1"/>
    <col min="8" max="10" width="5.5703125" style="69" customWidth="1"/>
    <col min="11" max="11" width="3.42578125" style="70" customWidth="1"/>
    <col min="12" max="14" width="5.5703125" style="69" customWidth="1"/>
    <col min="15" max="15" width="7.28515625" style="71" customWidth="1"/>
    <col min="16" max="16" width="6.5703125" style="64" customWidth="1"/>
    <col min="17" max="17" width="23.5703125" style="9" customWidth="1"/>
    <col min="18" max="18" width="5.28515625" style="9" customWidth="1"/>
    <col min="19" max="16384" width="9.140625" style="9"/>
  </cols>
  <sheetData>
    <row r="1" spans="1:23" s="64" customFormat="1" ht="20.25">
      <c r="A1" s="1" t="s">
        <v>0</v>
      </c>
      <c r="B1" s="57"/>
      <c r="C1" s="58"/>
      <c r="D1" s="57"/>
      <c r="E1" s="59"/>
      <c r="F1" s="60"/>
      <c r="G1" s="61"/>
      <c r="H1" s="62"/>
      <c r="I1" s="62"/>
      <c r="J1" s="62"/>
      <c r="K1" s="57"/>
      <c r="L1" s="62"/>
      <c r="M1" s="62"/>
      <c r="N1" s="62"/>
      <c r="O1" s="62"/>
      <c r="P1" s="57"/>
      <c r="Q1" s="57"/>
    </row>
    <row r="2" spans="1:23" s="64" customFormat="1" ht="12" customHeight="1">
      <c r="A2" s="57"/>
      <c r="B2" s="57"/>
      <c r="C2" s="57"/>
      <c r="D2" s="57"/>
      <c r="E2" s="65"/>
      <c r="F2" s="66"/>
      <c r="G2" s="61"/>
      <c r="H2" s="62"/>
      <c r="I2" s="62"/>
      <c r="J2" s="62"/>
      <c r="K2" s="57"/>
      <c r="L2" s="62"/>
      <c r="M2" s="62"/>
      <c r="N2" s="62"/>
      <c r="O2" s="62"/>
      <c r="P2" s="57"/>
      <c r="Q2" s="8" t="s">
        <v>1</v>
      </c>
    </row>
    <row r="3" spans="1:23" ht="12.75" customHeight="1">
      <c r="C3" s="10"/>
      <c r="L3" s="15"/>
      <c r="M3" s="15"/>
      <c r="Q3" s="25" t="s">
        <v>3</v>
      </c>
    </row>
    <row r="4" spans="1:23" ht="16.5" customHeight="1">
      <c r="C4" s="1" t="s">
        <v>735</v>
      </c>
      <c r="E4" s="73"/>
      <c r="L4" s="15"/>
      <c r="M4" s="15"/>
      <c r="Q4" s="311"/>
    </row>
    <row r="5" spans="1:23" s="70" customFormat="1" ht="2.1" customHeight="1">
      <c r="W5" s="74"/>
    </row>
    <row r="6" spans="1:23" s="70" customFormat="1" ht="2.1" customHeight="1">
      <c r="W6" s="74"/>
    </row>
    <row r="7" spans="1:23">
      <c r="H7" s="502" t="s">
        <v>32</v>
      </c>
      <c r="I7" s="503"/>
      <c r="J7" s="503"/>
      <c r="K7" s="503"/>
      <c r="L7" s="503"/>
      <c r="M7" s="503"/>
      <c r="N7" s="504"/>
    </row>
    <row r="8" spans="1:23" ht="22.5" customHeight="1">
      <c r="A8" s="75" t="s">
        <v>29</v>
      </c>
      <c r="B8" s="76" t="s">
        <v>4</v>
      </c>
      <c r="C8" s="77" t="s">
        <v>5</v>
      </c>
      <c r="D8" s="78" t="s">
        <v>6</v>
      </c>
      <c r="E8" s="79" t="s">
        <v>7</v>
      </c>
      <c r="F8" s="80" t="s">
        <v>8</v>
      </c>
      <c r="G8" s="81" t="s">
        <v>9</v>
      </c>
      <c r="H8" s="82">
        <v>1</v>
      </c>
      <c r="I8" s="82">
        <v>2</v>
      </c>
      <c r="J8" s="82">
        <v>3</v>
      </c>
      <c r="K8" s="83" t="s">
        <v>33</v>
      </c>
      <c r="L8" s="82">
        <v>4</v>
      </c>
      <c r="M8" s="82">
        <v>5</v>
      </c>
      <c r="N8" s="82">
        <v>6</v>
      </c>
      <c r="O8" s="84" t="s">
        <v>34</v>
      </c>
      <c r="P8" s="76" t="s">
        <v>35</v>
      </c>
      <c r="Q8" s="76" t="s">
        <v>13</v>
      </c>
    </row>
    <row r="9" spans="1:23" s="96" customFormat="1" ht="20.100000000000001" customHeight="1">
      <c r="A9" s="85">
        <v>1</v>
      </c>
      <c r="B9" s="86">
        <v>307</v>
      </c>
      <c r="C9" s="87" t="s">
        <v>333</v>
      </c>
      <c r="D9" s="88" t="s">
        <v>736</v>
      </c>
      <c r="E9" s="89" t="s">
        <v>737</v>
      </c>
      <c r="F9" s="90" t="s">
        <v>243</v>
      </c>
      <c r="G9" s="91">
        <f>IF(ISBLANK(O9),"",TRUNC(0.4611*(O9+98.63)^2)-5000)</f>
        <v>971</v>
      </c>
      <c r="H9" s="92">
        <v>14.3</v>
      </c>
      <c r="I9" s="92" t="s">
        <v>39</v>
      </c>
      <c r="J9" s="92">
        <v>15.17</v>
      </c>
      <c r="K9" s="93">
        <v>5</v>
      </c>
      <c r="L9" s="92" t="s">
        <v>39</v>
      </c>
      <c r="M9" s="92">
        <v>15.14</v>
      </c>
      <c r="N9" s="92" t="s">
        <v>39</v>
      </c>
      <c r="O9" s="84">
        <f>MAX(H9:J9,L9:N9)</f>
        <v>15.17</v>
      </c>
      <c r="P9" s="92" t="str">
        <f>IF(ISBLANK(O9),"",IF(O9&lt;12.2,"",IF(O9&gt;=16.65,"TSM",IF(O9&gt;=16.1,"SM",IF(O9&gt;=15.2,"KSM",IF(O9&gt;=14.2,"I A",IF(O9&gt;=13.2,"II A",IF(O9&gt;=12.2,"III A"))))))))</f>
        <v>I A</v>
      </c>
      <c r="Q9" s="423" t="s">
        <v>60</v>
      </c>
      <c r="R9" s="95"/>
    </row>
    <row r="10" spans="1:23" s="96" customFormat="1" ht="20.100000000000001" customHeight="1">
      <c r="A10" s="85">
        <v>2</v>
      </c>
      <c r="B10" s="86">
        <v>246</v>
      </c>
      <c r="C10" s="87" t="s">
        <v>391</v>
      </c>
      <c r="D10" s="88" t="s">
        <v>738</v>
      </c>
      <c r="E10" s="89" t="s">
        <v>739</v>
      </c>
      <c r="F10" s="90" t="s">
        <v>75</v>
      </c>
      <c r="G10" s="91">
        <f>IF(ISBLANK(O10),"",TRUNC(0.4611*(O10+98.63)^2)-5000)</f>
        <v>929</v>
      </c>
      <c r="H10" s="92">
        <v>14.17</v>
      </c>
      <c r="I10" s="92">
        <v>14.46</v>
      </c>
      <c r="J10" s="92">
        <v>14.71</v>
      </c>
      <c r="K10" s="93">
        <v>4</v>
      </c>
      <c r="L10" s="92">
        <v>14.62</v>
      </c>
      <c r="M10" s="92">
        <v>14.77</v>
      </c>
      <c r="N10" s="92" t="s">
        <v>39</v>
      </c>
      <c r="O10" s="84">
        <f>MAX(H10:J10,L10:N10)</f>
        <v>14.77</v>
      </c>
      <c r="P10" s="92" t="str">
        <f>IF(ISBLANK(O10),"",IF(O10&lt;12.2,"",IF(O10&gt;=16.65,"TSM",IF(O10&gt;=16.1,"SM",IF(O10&gt;=15.2,"KSM",IF(O10&gt;=14.2,"I A",IF(O10&gt;=13.2,"II A",IF(O10&gt;=12.2,"III A"))))))))</f>
        <v>I A</v>
      </c>
      <c r="Q10" s="423" t="s">
        <v>740</v>
      </c>
      <c r="R10" s="95"/>
    </row>
    <row r="11" spans="1:23" s="96" customFormat="1" ht="20.100000000000001" customHeight="1">
      <c r="A11" s="85">
        <v>3</v>
      </c>
      <c r="B11" s="86">
        <v>279</v>
      </c>
      <c r="C11" s="87" t="s">
        <v>268</v>
      </c>
      <c r="D11" s="88" t="s">
        <v>269</v>
      </c>
      <c r="E11" s="89" t="s">
        <v>270</v>
      </c>
      <c r="F11" s="90" t="s">
        <v>49</v>
      </c>
      <c r="G11" s="91">
        <f>IF(ISBLANK(O11),"",TRUNC(0.4611*(O11+98.63)^2)-5000)</f>
        <v>852</v>
      </c>
      <c r="H11" s="92">
        <v>13.98</v>
      </c>
      <c r="I11" s="92">
        <v>13.78</v>
      </c>
      <c r="J11" s="92">
        <v>14.03</v>
      </c>
      <c r="K11" s="93">
        <v>3</v>
      </c>
      <c r="L11" s="92" t="s">
        <v>108</v>
      </c>
      <c r="M11" s="92" t="s">
        <v>39</v>
      </c>
      <c r="N11" s="92" t="s">
        <v>108</v>
      </c>
      <c r="O11" s="84">
        <f>MAX(H11:J11,L11:N11)</f>
        <v>14.03</v>
      </c>
      <c r="P11" s="92" t="str">
        <f>IF(ISBLANK(O11),"",IF(O11&lt;12.2,"",IF(O11&gt;=16.65,"TSM",IF(O11&gt;=16.1,"SM",IF(O11&gt;=15.2,"KSM",IF(O11&gt;=14.2,"I A",IF(O11&gt;=13.2,"II A",IF(O11&gt;=12.2,"III A"))))))))</f>
        <v>II A</v>
      </c>
      <c r="Q11" s="423" t="s">
        <v>50</v>
      </c>
      <c r="R11" s="95"/>
    </row>
    <row r="12" spans="1:23" s="96" customFormat="1" ht="20.100000000000001" customHeight="1">
      <c r="A12" s="85">
        <v>4</v>
      </c>
      <c r="B12" s="86">
        <v>343</v>
      </c>
      <c r="C12" s="87" t="s">
        <v>345</v>
      </c>
      <c r="D12" s="88" t="s">
        <v>346</v>
      </c>
      <c r="E12" s="89" t="s">
        <v>347</v>
      </c>
      <c r="F12" s="90" t="s">
        <v>54</v>
      </c>
      <c r="G12" s="91">
        <f>IF(ISBLANK(O12),"",TRUNC(0.4611*(O12+98.63)^2)-5000)</f>
        <v>840</v>
      </c>
      <c r="H12" s="92">
        <v>13.88</v>
      </c>
      <c r="I12" s="92">
        <v>13.58</v>
      </c>
      <c r="J12" s="92">
        <v>13.74</v>
      </c>
      <c r="K12" s="93">
        <v>2</v>
      </c>
      <c r="L12" s="92">
        <v>13.92</v>
      </c>
      <c r="M12" s="92" t="s">
        <v>39</v>
      </c>
      <c r="N12" s="92" t="s">
        <v>39</v>
      </c>
      <c r="O12" s="84">
        <f>MAX(H12:J12,L12:N12)</f>
        <v>13.92</v>
      </c>
      <c r="P12" s="92" t="str">
        <f>IF(ISBLANK(O12),"",IF(O12&lt;12.2,"",IF(O12&gt;=16.65,"TSM",IF(O12&gt;=16.1,"SM",IF(O12&gt;=15.2,"KSM",IF(O12&gt;=14.2,"I A",IF(O12&gt;=13.2,"II A",IF(O12&gt;=12.2,"III A"))))))))</f>
        <v>II A</v>
      </c>
      <c r="Q12" s="423" t="s">
        <v>132</v>
      </c>
      <c r="R12" s="95"/>
    </row>
    <row r="13" spans="1:23" s="96" customFormat="1" ht="20.100000000000001" customHeight="1">
      <c r="A13" s="85">
        <v>5</v>
      </c>
      <c r="B13" s="86">
        <v>299</v>
      </c>
      <c r="C13" s="87" t="s">
        <v>280</v>
      </c>
      <c r="D13" s="88" t="s">
        <v>281</v>
      </c>
      <c r="E13" s="89" t="s">
        <v>282</v>
      </c>
      <c r="F13" s="90" t="s">
        <v>212</v>
      </c>
      <c r="G13" s="91">
        <f>IF(ISBLANK(O13),"",TRUNC(0.4611*(O13+98.63)^2)-5000)</f>
        <v>754</v>
      </c>
      <c r="H13" s="92">
        <v>13.08</v>
      </c>
      <c r="I13" s="92">
        <v>13.06</v>
      </c>
      <c r="J13" s="92" t="s">
        <v>39</v>
      </c>
      <c r="K13" s="93">
        <v>1</v>
      </c>
      <c r="L13" s="92">
        <v>12.69</v>
      </c>
      <c r="M13" s="92">
        <v>12.51</v>
      </c>
      <c r="N13" s="92" t="s">
        <v>108</v>
      </c>
      <c r="O13" s="84">
        <f>MAX(H13:J13,L13:N13)</f>
        <v>13.08</v>
      </c>
      <c r="P13" s="92" t="str">
        <f>IF(ISBLANK(O13),"",IF(O13&lt;12.2,"",IF(O13&gt;=16.65,"TSM",IF(O13&gt;=16.1,"SM",IF(O13&gt;=15.2,"KSM",IF(O13&gt;=14.2,"I A",IF(O13&gt;=13.2,"II A",IF(O13&gt;=12.2,"III A"))))))))</f>
        <v>III A</v>
      </c>
      <c r="Q13" s="423" t="s">
        <v>283</v>
      </c>
      <c r="R13" s="95"/>
    </row>
    <row r="14" spans="1:23" s="96" customFormat="1" ht="20.100000000000001" customHeight="1">
      <c r="A14" s="85" t="s">
        <v>23</v>
      </c>
      <c r="B14" s="86">
        <v>400</v>
      </c>
      <c r="C14" s="87" t="s">
        <v>741</v>
      </c>
      <c r="D14" s="88" t="s">
        <v>742</v>
      </c>
      <c r="E14" s="89" t="s">
        <v>743</v>
      </c>
      <c r="F14" s="90" t="s">
        <v>22</v>
      </c>
      <c r="G14" s="91" t="s">
        <v>23</v>
      </c>
      <c r="H14" s="92" t="s">
        <v>39</v>
      </c>
      <c r="I14" s="92">
        <v>12.95</v>
      </c>
      <c r="J14" s="92">
        <v>13.47</v>
      </c>
      <c r="K14" s="93" t="s">
        <v>23</v>
      </c>
      <c r="L14" s="92"/>
      <c r="M14" s="92"/>
      <c r="N14" s="92"/>
      <c r="O14" s="84">
        <f t="shared" ref="O14:O15" si="0">MAX(H14:J14,L14:N14)</f>
        <v>13.47</v>
      </c>
      <c r="P14" s="92" t="str">
        <f t="shared" ref="P14:P15" si="1">IF(ISBLANK(O14),"",IF(O14&lt;12.2,"",IF(O14&gt;=16.65,"TSM",IF(O14&gt;=16.1,"SM",IF(O14&gt;=15.2,"KSM",IF(O14&gt;=14.2,"I A",IF(O14&gt;=13.2,"II A",IF(O14&gt;=12.2,"III A"))))))))</f>
        <v>II A</v>
      </c>
      <c r="Q14" s="423" t="s">
        <v>188</v>
      </c>
      <c r="R14" s="95"/>
    </row>
    <row r="15" spans="1:23" s="96" customFormat="1" ht="20.100000000000001" customHeight="1">
      <c r="A15" s="85" t="s">
        <v>23</v>
      </c>
      <c r="B15" s="86">
        <v>256</v>
      </c>
      <c r="C15" s="87" t="s">
        <v>366</v>
      </c>
      <c r="D15" s="88" t="s">
        <v>367</v>
      </c>
      <c r="E15" s="89" t="s">
        <v>368</v>
      </c>
      <c r="F15" s="90" t="s">
        <v>22</v>
      </c>
      <c r="G15" s="91" t="s">
        <v>23</v>
      </c>
      <c r="H15" s="92">
        <v>12.86</v>
      </c>
      <c r="I15" s="92">
        <v>12.77</v>
      </c>
      <c r="J15" s="92">
        <v>13.18</v>
      </c>
      <c r="K15" s="93" t="s">
        <v>23</v>
      </c>
      <c r="L15" s="92"/>
      <c r="M15" s="92"/>
      <c r="N15" s="92"/>
      <c r="O15" s="84">
        <f t="shared" si="0"/>
        <v>13.18</v>
      </c>
      <c r="P15" s="92" t="str">
        <f t="shared" si="1"/>
        <v>III A</v>
      </c>
      <c r="Q15" s="423" t="s">
        <v>369</v>
      </c>
      <c r="R15" s="95"/>
    </row>
  </sheetData>
  <mergeCells count="1">
    <mergeCell ref="H7:N7"/>
  </mergeCells>
  <printOptions horizontalCentered="1"/>
  <pageMargins left="0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4"/>
  <sheetViews>
    <sheetView showZeros="0" zoomScaleNormal="100" workbookViewId="0">
      <selection activeCell="A2" sqref="A2"/>
    </sheetView>
  </sheetViews>
  <sheetFormatPr defaultColWidth="11.42578125" defaultRowHeight="12.75"/>
  <cols>
    <col min="1" max="1" width="5.5703125" style="97" customWidth="1"/>
    <col min="2" max="2" width="4.5703125" style="97" customWidth="1"/>
    <col min="3" max="3" width="8" style="97" customWidth="1"/>
    <col min="4" max="4" width="16" style="97" customWidth="1"/>
    <col min="5" max="5" width="11.85546875" style="105" customWidth="1"/>
    <col min="6" max="6" width="10.28515625" style="104" customWidth="1"/>
    <col min="7" max="7" width="7.5703125" style="103" customWidth="1"/>
    <col min="8" max="10" width="5.7109375" style="101" customWidth="1"/>
    <col min="11" max="11" width="3.28515625" style="102" customWidth="1"/>
    <col min="12" max="14" width="5.7109375" style="101" customWidth="1"/>
    <col min="15" max="15" width="7.28515625" style="100" customWidth="1"/>
    <col min="16" max="16" width="6.5703125" style="99" customWidth="1"/>
    <col min="17" max="17" width="26" style="97" customWidth="1"/>
    <col min="18" max="18" width="4.5703125" style="98" customWidth="1"/>
    <col min="19" max="16384" width="11.42578125" style="97"/>
  </cols>
  <sheetData>
    <row r="1" spans="1:23" s="99" customFormat="1" ht="20.25">
      <c r="A1" s="131" t="s">
        <v>0</v>
      </c>
      <c r="B1" s="134"/>
      <c r="C1" s="141"/>
      <c r="D1" s="134"/>
      <c r="E1" s="140"/>
      <c r="F1" s="139"/>
      <c r="G1" s="136"/>
      <c r="H1" s="135"/>
      <c r="I1" s="135"/>
      <c r="J1" s="135"/>
      <c r="K1" s="134"/>
      <c r="L1" s="135"/>
      <c r="M1" s="135"/>
      <c r="N1" s="135"/>
      <c r="O1" s="135"/>
      <c r="P1" s="134"/>
      <c r="Q1" s="134"/>
      <c r="R1" s="133"/>
    </row>
    <row r="2" spans="1:23" s="99" customFormat="1" ht="12" customHeight="1">
      <c r="A2" s="134"/>
      <c r="B2" s="134"/>
      <c r="C2" s="134"/>
      <c r="D2" s="134"/>
      <c r="E2" s="138"/>
      <c r="F2" s="137"/>
      <c r="G2" s="136"/>
      <c r="H2" s="135"/>
      <c r="I2" s="135"/>
      <c r="J2" s="135"/>
      <c r="K2" s="134"/>
      <c r="L2" s="135"/>
      <c r="M2" s="135"/>
      <c r="N2" s="135"/>
      <c r="O2" s="135"/>
      <c r="P2" s="134"/>
      <c r="Q2" s="8" t="s">
        <v>1</v>
      </c>
      <c r="R2" s="133"/>
    </row>
    <row r="3" spans="1:23" ht="12.75" customHeight="1">
      <c r="C3" s="132"/>
      <c r="L3" s="129"/>
      <c r="M3" s="129"/>
      <c r="Q3" s="25" t="s">
        <v>3</v>
      </c>
    </row>
    <row r="4" spans="1:23" ht="16.5" customHeight="1">
      <c r="C4" s="131" t="s">
        <v>96</v>
      </c>
      <c r="E4" s="130"/>
      <c r="L4" s="129"/>
      <c r="M4" s="129"/>
    </row>
    <row r="5" spans="1:23" s="102" customFormat="1" ht="2.1" customHeight="1">
      <c r="W5" s="128"/>
    </row>
    <row r="6" spans="1:23" s="102" customFormat="1" ht="2.1" customHeight="1">
      <c r="W6" s="128"/>
    </row>
    <row r="7" spans="1:23">
      <c r="H7" s="505" t="s">
        <v>32</v>
      </c>
      <c r="I7" s="506"/>
      <c r="J7" s="506"/>
      <c r="K7" s="506"/>
      <c r="L7" s="506"/>
      <c r="M7" s="506"/>
      <c r="N7" s="507"/>
    </row>
    <row r="8" spans="1:23" ht="22.5" customHeight="1">
      <c r="A8" s="127" t="s">
        <v>29</v>
      </c>
      <c r="B8" s="119" t="s">
        <v>4</v>
      </c>
      <c r="C8" s="126" t="s">
        <v>5</v>
      </c>
      <c r="D8" s="125" t="s">
        <v>6</v>
      </c>
      <c r="E8" s="124" t="s">
        <v>7</v>
      </c>
      <c r="F8" s="123" t="s">
        <v>8</v>
      </c>
      <c r="G8" s="122" t="s">
        <v>9</v>
      </c>
      <c r="H8" s="120">
        <v>1</v>
      </c>
      <c r="I8" s="120">
        <v>2</v>
      </c>
      <c r="J8" s="120">
        <v>3</v>
      </c>
      <c r="K8" s="121" t="s">
        <v>33</v>
      </c>
      <c r="L8" s="120">
        <v>4</v>
      </c>
      <c r="M8" s="120">
        <v>5</v>
      </c>
      <c r="N8" s="120">
        <v>6</v>
      </c>
      <c r="O8" s="110" t="s">
        <v>34</v>
      </c>
      <c r="P8" s="119" t="s">
        <v>35</v>
      </c>
      <c r="Q8" s="119" t="s">
        <v>13</v>
      </c>
      <c r="R8" s="118"/>
    </row>
    <row r="9" spans="1:23" s="106" customFormat="1" ht="20.100000000000001" customHeight="1">
      <c r="A9" s="85">
        <v>1</v>
      </c>
      <c r="B9" s="117">
        <v>372</v>
      </c>
      <c r="C9" s="116" t="s">
        <v>95</v>
      </c>
      <c r="D9" s="115" t="s">
        <v>94</v>
      </c>
      <c r="E9" s="114" t="s">
        <v>93</v>
      </c>
      <c r="F9" s="113" t="s">
        <v>17</v>
      </c>
      <c r="G9" s="112">
        <f t="shared" ref="G9:G14" si="0">IF(ISBLANK(O9),"",TRUNC(0.0462*(O9+657.53)^2)-20000)</f>
        <v>785</v>
      </c>
      <c r="H9" s="109">
        <v>13.21</v>
      </c>
      <c r="I9" s="109" t="s">
        <v>39</v>
      </c>
      <c r="J9" s="109" t="s">
        <v>39</v>
      </c>
      <c r="K9" s="111">
        <v>6</v>
      </c>
      <c r="L9" s="109">
        <v>13.06</v>
      </c>
      <c r="M9" s="109" t="s">
        <v>39</v>
      </c>
      <c r="N9" s="109">
        <v>12.77</v>
      </c>
      <c r="O9" s="110">
        <f t="shared" ref="O9:O14" si="1">MAX(H9:J9,L9:N9)</f>
        <v>13.21</v>
      </c>
      <c r="P9" s="109" t="str">
        <f t="shared" ref="P9:P14" si="2">IF(ISBLANK(O9),"",IF(O9&lt;8.5,"",IF(O9&gt;=17.2,"TSM",IF(O9&gt;=15.8,"SM",IF(O9&gt;=14,"KSM",IF(O9&gt;=12,"I A",IF(O9&gt;=10,"II A",IF(O9&gt;=8.5,"III A"))))))))</f>
        <v>I A</v>
      </c>
      <c r="Q9" s="108" t="s">
        <v>92</v>
      </c>
      <c r="R9" s="107"/>
    </row>
    <row r="10" spans="1:23" s="106" customFormat="1" ht="20.100000000000001" customHeight="1">
      <c r="A10" s="85">
        <v>2</v>
      </c>
      <c r="B10" s="117">
        <v>262</v>
      </c>
      <c r="C10" s="116" t="s">
        <v>91</v>
      </c>
      <c r="D10" s="115" t="s">
        <v>90</v>
      </c>
      <c r="E10" s="114" t="s">
        <v>89</v>
      </c>
      <c r="F10" s="113" t="s">
        <v>88</v>
      </c>
      <c r="G10" s="112">
        <f t="shared" si="0"/>
        <v>707</v>
      </c>
      <c r="H10" s="109">
        <v>11.57</v>
      </c>
      <c r="I10" s="109">
        <v>11.95</v>
      </c>
      <c r="J10" s="109" t="s">
        <v>39</v>
      </c>
      <c r="K10" s="111">
        <v>5</v>
      </c>
      <c r="L10" s="109">
        <v>11.67</v>
      </c>
      <c r="M10" s="109">
        <v>11.84</v>
      </c>
      <c r="N10" s="109">
        <v>11.65</v>
      </c>
      <c r="O10" s="110">
        <f t="shared" si="1"/>
        <v>11.95</v>
      </c>
      <c r="P10" s="109" t="str">
        <f t="shared" si="2"/>
        <v>II A</v>
      </c>
      <c r="Q10" s="108" t="s">
        <v>87</v>
      </c>
      <c r="R10" s="107"/>
    </row>
    <row r="11" spans="1:23" s="106" customFormat="1" ht="20.100000000000001" customHeight="1">
      <c r="A11" s="85">
        <v>3</v>
      </c>
      <c r="B11" s="117">
        <v>364</v>
      </c>
      <c r="C11" s="116" t="s">
        <v>82</v>
      </c>
      <c r="D11" s="115" t="s">
        <v>81</v>
      </c>
      <c r="E11" s="114" t="s">
        <v>80</v>
      </c>
      <c r="F11" s="113" t="s">
        <v>54</v>
      </c>
      <c r="G11" s="112">
        <f t="shared" si="0"/>
        <v>675</v>
      </c>
      <c r="H11" s="109">
        <v>11.08</v>
      </c>
      <c r="I11" s="109">
        <v>11</v>
      </c>
      <c r="J11" s="109">
        <v>11.44</v>
      </c>
      <c r="K11" s="111">
        <v>4</v>
      </c>
      <c r="L11" s="109">
        <v>11.03</v>
      </c>
      <c r="M11" s="109">
        <v>11.17</v>
      </c>
      <c r="N11" s="109" t="s">
        <v>39</v>
      </c>
      <c r="O11" s="110">
        <f t="shared" si="1"/>
        <v>11.44</v>
      </c>
      <c r="P11" s="109" t="str">
        <f t="shared" si="2"/>
        <v>II A</v>
      </c>
      <c r="Q11" s="108" t="s">
        <v>79</v>
      </c>
      <c r="R11" s="107"/>
    </row>
    <row r="12" spans="1:23" s="106" customFormat="1" ht="20.100000000000001" customHeight="1">
      <c r="A12" s="85">
        <v>4</v>
      </c>
      <c r="B12" s="117">
        <v>254</v>
      </c>
      <c r="C12" s="116" t="s">
        <v>86</v>
      </c>
      <c r="D12" s="115" t="s">
        <v>85</v>
      </c>
      <c r="E12" s="114" t="s">
        <v>84</v>
      </c>
      <c r="F12" s="113" t="s">
        <v>75</v>
      </c>
      <c r="G12" s="112">
        <f t="shared" si="0"/>
        <v>674</v>
      </c>
      <c r="H12" s="109" t="s">
        <v>39</v>
      </c>
      <c r="I12" s="109">
        <v>11.42</v>
      </c>
      <c r="J12" s="109">
        <v>11.37</v>
      </c>
      <c r="K12" s="111">
        <v>3</v>
      </c>
      <c r="L12" s="109" t="s">
        <v>39</v>
      </c>
      <c r="M12" s="109">
        <v>10.64</v>
      </c>
      <c r="N12" s="109">
        <v>11.42</v>
      </c>
      <c r="O12" s="110">
        <f t="shared" si="1"/>
        <v>11.42</v>
      </c>
      <c r="P12" s="109" t="str">
        <f t="shared" si="2"/>
        <v>II A</v>
      </c>
      <c r="Q12" s="108" t="s">
        <v>83</v>
      </c>
      <c r="R12" s="107"/>
    </row>
    <row r="13" spans="1:23" s="106" customFormat="1" ht="20.100000000000001" customHeight="1">
      <c r="A13" s="85">
        <v>5</v>
      </c>
      <c r="B13" s="117">
        <v>255</v>
      </c>
      <c r="C13" s="116" t="s">
        <v>78</v>
      </c>
      <c r="D13" s="115" t="s">
        <v>77</v>
      </c>
      <c r="E13" s="114" t="s">
        <v>76</v>
      </c>
      <c r="F13" s="113" t="s">
        <v>75</v>
      </c>
      <c r="G13" s="112">
        <f t="shared" si="0"/>
        <v>622</v>
      </c>
      <c r="H13" s="109">
        <v>9.77</v>
      </c>
      <c r="I13" s="109">
        <v>9.6300000000000008</v>
      </c>
      <c r="J13" s="109">
        <v>10.19</v>
      </c>
      <c r="K13" s="111">
        <v>2</v>
      </c>
      <c r="L13" s="109">
        <v>10.57</v>
      </c>
      <c r="M13" s="109">
        <v>9.93</v>
      </c>
      <c r="N13" s="109">
        <v>10.58</v>
      </c>
      <c r="O13" s="110">
        <f t="shared" si="1"/>
        <v>10.58</v>
      </c>
      <c r="P13" s="109" t="str">
        <f t="shared" si="2"/>
        <v>II A</v>
      </c>
      <c r="Q13" s="108" t="s">
        <v>74</v>
      </c>
      <c r="R13" s="107"/>
    </row>
    <row r="14" spans="1:23" s="106" customFormat="1" ht="20.100000000000001" customHeight="1">
      <c r="A14" s="85">
        <v>6</v>
      </c>
      <c r="B14" s="117">
        <v>235</v>
      </c>
      <c r="C14" s="116" t="s">
        <v>73</v>
      </c>
      <c r="D14" s="115" t="s">
        <v>72</v>
      </c>
      <c r="E14" s="114" t="s">
        <v>71</v>
      </c>
      <c r="F14" s="113" t="s">
        <v>44</v>
      </c>
      <c r="G14" s="112">
        <f t="shared" si="0"/>
        <v>471</v>
      </c>
      <c r="H14" s="109">
        <v>7.55</v>
      </c>
      <c r="I14" s="109">
        <v>8.1300000000000008</v>
      </c>
      <c r="J14" s="109" t="s">
        <v>39</v>
      </c>
      <c r="K14" s="111">
        <v>1</v>
      </c>
      <c r="L14" s="109" t="s">
        <v>39</v>
      </c>
      <c r="M14" s="109" t="s">
        <v>39</v>
      </c>
      <c r="N14" s="109">
        <v>8.14</v>
      </c>
      <c r="O14" s="110">
        <f t="shared" si="1"/>
        <v>8.14</v>
      </c>
      <c r="P14" s="109" t="str">
        <f t="shared" si="2"/>
        <v/>
      </c>
      <c r="Q14" s="108" t="s">
        <v>70</v>
      </c>
      <c r="R14" s="107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9"/>
  <sheetViews>
    <sheetView showZeros="0" zoomScaleNormal="100" workbookViewId="0">
      <selection activeCell="A2" sqref="A2"/>
    </sheetView>
  </sheetViews>
  <sheetFormatPr defaultColWidth="11.42578125" defaultRowHeight="12.75"/>
  <cols>
    <col min="1" max="1" width="5.42578125" style="97" customWidth="1"/>
    <col min="2" max="2" width="4.42578125" style="97" customWidth="1"/>
    <col min="3" max="3" width="14" style="97" customWidth="1"/>
    <col min="4" max="4" width="13.42578125" style="97" customWidth="1"/>
    <col min="5" max="5" width="10.28515625" style="105" customWidth="1"/>
    <col min="6" max="6" width="9.42578125" style="104" customWidth="1"/>
    <col min="7" max="7" width="7.42578125" style="103" customWidth="1"/>
    <col min="8" max="10" width="5.42578125" style="101" customWidth="1"/>
    <col min="11" max="11" width="3.28515625" style="102" customWidth="1"/>
    <col min="12" max="14" width="5.42578125" style="101" customWidth="1"/>
    <col min="15" max="15" width="7.28515625" style="100" customWidth="1"/>
    <col min="16" max="16" width="6.42578125" style="99" customWidth="1"/>
    <col min="17" max="17" width="23.28515625" style="97" customWidth="1"/>
    <col min="18" max="16384" width="11.42578125" style="97"/>
  </cols>
  <sheetData>
    <row r="1" spans="1:22" s="99" customFormat="1" ht="20.25">
      <c r="A1" s="131" t="s">
        <v>0</v>
      </c>
      <c r="B1" s="134"/>
      <c r="C1" s="141"/>
      <c r="D1" s="134"/>
      <c r="E1" s="140"/>
      <c r="F1" s="139"/>
      <c r="G1" s="136"/>
      <c r="H1" s="135"/>
      <c r="I1" s="135"/>
      <c r="J1" s="135"/>
      <c r="K1" s="134"/>
      <c r="L1" s="135"/>
      <c r="M1" s="135"/>
      <c r="N1" s="135"/>
      <c r="O1" s="135"/>
      <c r="P1" s="134"/>
      <c r="Q1" s="134"/>
    </row>
    <row r="2" spans="1:22" s="99" customFormat="1" ht="12" customHeight="1">
      <c r="A2" s="134"/>
      <c r="B2" s="134"/>
      <c r="C2" s="134"/>
      <c r="D2" s="134"/>
      <c r="E2" s="138"/>
      <c r="F2" s="137"/>
      <c r="G2" s="136"/>
      <c r="H2" s="135"/>
      <c r="I2" s="135"/>
      <c r="J2" s="135"/>
      <c r="K2" s="134"/>
      <c r="L2" s="135"/>
      <c r="M2" s="135"/>
      <c r="N2" s="135"/>
      <c r="O2" s="135"/>
      <c r="P2" s="134"/>
      <c r="Q2" s="8" t="s">
        <v>1</v>
      </c>
    </row>
    <row r="3" spans="1:22" ht="12.75" customHeight="1">
      <c r="C3" s="132"/>
      <c r="L3" s="129"/>
      <c r="M3" s="129"/>
      <c r="Q3" s="25" t="s">
        <v>3</v>
      </c>
    </row>
    <row r="4" spans="1:22" ht="16.5" customHeight="1">
      <c r="C4" s="131" t="s">
        <v>417</v>
      </c>
      <c r="E4" s="130"/>
      <c r="L4" s="129"/>
      <c r="M4" s="129"/>
      <c r="Q4" s="248"/>
    </row>
    <row r="5" spans="1:22" s="102" customFormat="1" ht="2.1" customHeight="1">
      <c r="V5" s="128"/>
    </row>
    <row r="6" spans="1:22" s="102" customFormat="1" ht="2.1" customHeight="1">
      <c r="V6" s="128"/>
    </row>
    <row r="7" spans="1:22">
      <c r="H7" s="505" t="s">
        <v>32</v>
      </c>
      <c r="I7" s="506"/>
      <c r="J7" s="506"/>
      <c r="K7" s="506"/>
      <c r="L7" s="506"/>
      <c r="M7" s="506"/>
      <c r="N7" s="507"/>
    </row>
    <row r="8" spans="1:22" ht="22.5" customHeight="1">
      <c r="A8" s="127" t="s">
        <v>29</v>
      </c>
      <c r="B8" s="119" t="s">
        <v>4</v>
      </c>
      <c r="C8" s="126" t="s">
        <v>5</v>
      </c>
      <c r="D8" s="125" t="s">
        <v>6</v>
      </c>
      <c r="E8" s="124" t="s">
        <v>7</v>
      </c>
      <c r="F8" s="123" t="s">
        <v>8</v>
      </c>
      <c r="G8" s="122" t="s">
        <v>9</v>
      </c>
      <c r="H8" s="120">
        <v>1</v>
      </c>
      <c r="I8" s="120">
        <v>2</v>
      </c>
      <c r="J8" s="120">
        <v>3</v>
      </c>
      <c r="K8" s="121" t="s">
        <v>33</v>
      </c>
      <c r="L8" s="120">
        <v>4</v>
      </c>
      <c r="M8" s="120">
        <v>5</v>
      </c>
      <c r="N8" s="120">
        <v>6</v>
      </c>
      <c r="O8" s="110" t="s">
        <v>34</v>
      </c>
      <c r="P8" s="119" t="s">
        <v>35</v>
      </c>
      <c r="Q8" s="119" t="s">
        <v>13</v>
      </c>
    </row>
    <row r="9" spans="1:22" s="106" customFormat="1" ht="20.100000000000001" customHeight="1">
      <c r="A9" s="85">
        <v>1</v>
      </c>
      <c r="B9" s="117">
        <v>387</v>
      </c>
      <c r="C9" s="249" t="s">
        <v>418</v>
      </c>
      <c r="D9" s="250" t="s">
        <v>419</v>
      </c>
      <c r="E9" s="251" t="s">
        <v>420</v>
      </c>
      <c r="F9" s="252" t="s">
        <v>17</v>
      </c>
      <c r="G9" s="112">
        <f>IF(ISBLANK(O9),"",TRUNC(0.042172*(O9+687.7)^2)-20000)</f>
        <v>876</v>
      </c>
      <c r="H9" s="109">
        <v>14.68</v>
      </c>
      <c r="I9" s="109">
        <v>15.58</v>
      </c>
      <c r="J9" s="109" t="s">
        <v>39</v>
      </c>
      <c r="K9" s="111">
        <v>5</v>
      </c>
      <c r="L9" s="109">
        <v>15.27</v>
      </c>
      <c r="M9" s="109">
        <v>15.88</v>
      </c>
      <c r="N9" s="109">
        <v>15.46</v>
      </c>
      <c r="O9" s="110">
        <f>MAX(H9:J9,L9:N9)</f>
        <v>15.88</v>
      </c>
      <c r="P9" s="109" t="str">
        <f>IF(ISBLANK(O9),"",IF(O9&lt;10.2,"",IF(O9&gt;=19.9,"TSM",IF(O9&gt;=17.5,"SM",IF(O9&gt;=15.6,"KSM",IF(O9&gt;=13.8,"I A",IF(O9&gt;=12,"II A",IF(O9&gt;=10.2,"III A"))))))))</f>
        <v>KSM</v>
      </c>
      <c r="Q9" s="253" t="s">
        <v>421</v>
      </c>
    </row>
    <row r="10" spans="1:22" s="106" customFormat="1" ht="20.100000000000001" customHeight="1">
      <c r="A10" s="85">
        <v>2</v>
      </c>
      <c r="B10" s="117">
        <v>375</v>
      </c>
      <c r="C10" s="249" t="s">
        <v>422</v>
      </c>
      <c r="D10" s="250" t="s">
        <v>423</v>
      </c>
      <c r="E10" s="251" t="s">
        <v>424</v>
      </c>
      <c r="F10" s="252" t="s">
        <v>17</v>
      </c>
      <c r="G10" s="112">
        <f>IF(ISBLANK(O10),"",TRUNC(0.042172*(O10+687.7)^2)-20000)</f>
        <v>856</v>
      </c>
      <c r="H10" s="109">
        <v>15.43</v>
      </c>
      <c r="I10" s="109">
        <v>15.54</v>
      </c>
      <c r="J10" s="109">
        <v>15.27</v>
      </c>
      <c r="K10" s="111">
        <v>4</v>
      </c>
      <c r="L10" s="109" t="s">
        <v>39</v>
      </c>
      <c r="M10" s="109">
        <v>15.46</v>
      </c>
      <c r="N10" s="109" t="s">
        <v>39</v>
      </c>
      <c r="O10" s="110">
        <f>MAX(H10:J10,L10:N10)</f>
        <v>15.54</v>
      </c>
      <c r="P10" s="109" t="str">
        <f>IF(ISBLANK(O10),"",IF(O10&lt;10.2,"",IF(O10&gt;=19.9,"TSM",IF(O10&gt;=17.5,"SM",IF(O10&gt;=15.6,"KSM",IF(O10&gt;=13.8,"I A",IF(O10&gt;=12,"II A",IF(O10&gt;=10.2,"III A"))))))))</f>
        <v>I A</v>
      </c>
      <c r="Q10" s="253" t="s">
        <v>443</v>
      </c>
    </row>
    <row r="11" spans="1:22" s="106" customFormat="1" ht="20.100000000000001" customHeight="1">
      <c r="A11" s="85">
        <v>3</v>
      </c>
      <c r="B11" s="117">
        <v>234</v>
      </c>
      <c r="C11" s="249" t="s">
        <v>418</v>
      </c>
      <c r="D11" s="250" t="s">
        <v>425</v>
      </c>
      <c r="E11" s="251" t="s">
        <v>426</v>
      </c>
      <c r="F11" s="252" t="s">
        <v>44</v>
      </c>
      <c r="G11" s="112">
        <f>IF(ISBLANK(O11),"",TRUNC(0.042172*(O11+687.7)^2)-20000)</f>
        <v>787</v>
      </c>
      <c r="H11" s="109">
        <v>14.38</v>
      </c>
      <c r="I11" s="109">
        <v>14.38</v>
      </c>
      <c r="J11" s="109" t="s">
        <v>39</v>
      </c>
      <c r="K11" s="111">
        <v>3</v>
      </c>
      <c r="L11" s="109" t="s">
        <v>39</v>
      </c>
      <c r="M11" s="109" t="s">
        <v>39</v>
      </c>
      <c r="N11" s="109">
        <v>14.15</v>
      </c>
      <c r="O11" s="110">
        <f>MAX(H11:J11,L11:N11)</f>
        <v>14.38</v>
      </c>
      <c r="P11" s="109" t="str">
        <f>IF(ISBLANK(O11),"",IF(O11&lt;10.2,"",IF(O11&gt;=19.9,"TSM",IF(O11&gt;=17.5,"SM",IF(O11&gt;=15.6,"KSM",IF(O11&gt;=13.8,"I A",IF(O11&gt;=12,"II A",IF(O11&gt;=10.2,"III A"))))))))</f>
        <v>I A</v>
      </c>
      <c r="Q11" s="253" t="s">
        <v>427</v>
      </c>
    </row>
    <row r="12" spans="1:22" s="106" customFormat="1" ht="20.100000000000001" customHeight="1">
      <c r="A12" s="85">
        <v>4</v>
      </c>
      <c r="B12" s="117">
        <v>370</v>
      </c>
      <c r="C12" s="249" t="s">
        <v>428</v>
      </c>
      <c r="D12" s="250" t="s">
        <v>429</v>
      </c>
      <c r="E12" s="251" t="s">
        <v>430</v>
      </c>
      <c r="F12" s="252" t="s">
        <v>184</v>
      </c>
      <c r="G12" s="112">
        <f>IF(ISBLANK(O12),"",TRUNC(0.042172*(O12+687.7)^2)-20000)</f>
        <v>741</v>
      </c>
      <c r="H12" s="109">
        <v>12.45</v>
      </c>
      <c r="I12" s="109">
        <v>13.09</v>
      </c>
      <c r="J12" s="109">
        <v>13.6</v>
      </c>
      <c r="K12" s="111">
        <v>2</v>
      </c>
      <c r="L12" s="109" t="s">
        <v>39</v>
      </c>
      <c r="M12" s="109" t="s">
        <v>39</v>
      </c>
      <c r="N12" s="109">
        <v>13.32</v>
      </c>
      <c r="O12" s="110">
        <f>MAX(H12:J12,L12:N12)</f>
        <v>13.6</v>
      </c>
      <c r="P12" s="109" t="str">
        <f>IF(ISBLANK(O12),"",IF(O12&lt;10.2,"",IF(O12&gt;=19.9,"TSM",IF(O12&gt;=17.5,"SM",IF(O12&gt;=15.6,"KSM",IF(O12&gt;=13.8,"I A",IF(O12&gt;=12,"II A",IF(O12&gt;=10.2,"III A"))))))))</f>
        <v>II A</v>
      </c>
      <c r="Q12" s="253" t="s">
        <v>431</v>
      </c>
    </row>
    <row r="13" spans="1:22" s="106" customFormat="1" ht="20.100000000000001" customHeight="1">
      <c r="A13" s="85">
        <v>5</v>
      </c>
      <c r="B13" s="117">
        <v>295</v>
      </c>
      <c r="C13" s="249" t="s">
        <v>432</v>
      </c>
      <c r="D13" s="250" t="s">
        <v>433</v>
      </c>
      <c r="E13" s="251" t="s">
        <v>434</v>
      </c>
      <c r="F13" s="252" t="s">
        <v>212</v>
      </c>
      <c r="G13" s="112">
        <f>IF(ISBLANK(O13),"",TRUNC(0.042172*(O13+687.7)^2)-20000)</f>
        <v>674</v>
      </c>
      <c r="H13" s="109">
        <v>12.42</v>
      </c>
      <c r="I13" s="109">
        <v>12.2</v>
      </c>
      <c r="J13" s="109">
        <v>12.43</v>
      </c>
      <c r="K13" s="111">
        <v>1</v>
      </c>
      <c r="L13" s="109">
        <v>12.26</v>
      </c>
      <c r="M13" s="109">
        <v>12.47</v>
      </c>
      <c r="N13" s="109">
        <v>12.27</v>
      </c>
      <c r="O13" s="110">
        <f>MAX(H13:J13,L13:N13)</f>
        <v>12.47</v>
      </c>
      <c r="P13" s="109" t="str">
        <f>IF(ISBLANK(O13),"",IF(O13&lt;10.2,"",IF(O13&gt;=19.9,"TSM",IF(O13&gt;=17.5,"SM",IF(O13&gt;=15.6,"KSM",IF(O13&gt;=13.8,"I A",IF(O13&gt;=12,"II A",IF(O13&gt;=10.2,"III A"))))))))</f>
        <v>II A</v>
      </c>
      <c r="Q13" s="253" t="s">
        <v>435</v>
      </c>
    </row>
    <row r="14" spans="1:22" s="106" customFormat="1" ht="20.100000000000001" customHeight="1">
      <c r="A14" s="85"/>
      <c r="B14" s="117">
        <v>349</v>
      </c>
      <c r="C14" s="249" t="s">
        <v>436</v>
      </c>
      <c r="D14" s="250" t="s">
        <v>437</v>
      </c>
      <c r="E14" s="251" t="s">
        <v>438</v>
      </c>
      <c r="F14" s="252" t="s">
        <v>54</v>
      </c>
      <c r="G14" s="112"/>
      <c r="H14" s="109"/>
      <c r="I14" s="109"/>
      <c r="J14" s="109"/>
      <c r="K14" s="111"/>
      <c r="L14" s="109"/>
      <c r="M14" s="109"/>
      <c r="N14" s="109"/>
      <c r="O14" s="110" t="s">
        <v>30</v>
      </c>
      <c r="P14" s="109"/>
      <c r="Q14" s="253" t="s">
        <v>344</v>
      </c>
    </row>
    <row r="15" spans="1:22">
      <c r="L15" s="129"/>
      <c r="M15" s="129"/>
    </row>
    <row r="16" spans="1:22" ht="16.5" customHeight="1">
      <c r="C16" s="131" t="s">
        <v>439</v>
      </c>
      <c r="E16" s="130"/>
      <c r="L16" s="129"/>
      <c r="M16" s="129"/>
      <c r="Q16" s="248"/>
    </row>
    <row r="17" spans="1:17">
      <c r="H17" s="505" t="s">
        <v>32</v>
      </c>
      <c r="I17" s="506"/>
      <c r="J17" s="506"/>
      <c r="K17" s="506"/>
      <c r="L17" s="506"/>
      <c r="M17" s="506"/>
      <c r="N17" s="507"/>
    </row>
    <row r="18" spans="1:17" ht="22.5" customHeight="1">
      <c r="A18" s="127" t="s">
        <v>29</v>
      </c>
      <c r="B18" s="119" t="s">
        <v>4</v>
      </c>
      <c r="C18" s="126" t="s">
        <v>5</v>
      </c>
      <c r="D18" s="125" t="s">
        <v>6</v>
      </c>
      <c r="E18" s="124" t="s">
        <v>7</v>
      </c>
      <c r="F18" s="123" t="s">
        <v>8</v>
      </c>
      <c r="G18" s="122"/>
      <c r="H18" s="120">
        <v>1</v>
      </c>
      <c r="I18" s="120">
        <v>2</v>
      </c>
      <c r="J18" s="120">
        <v>3</v>
      </c>
      <c r="K18" s="121" t="s">
        <v>33</v>
      </c>
      <c r="L18" s="120">
        <v>4</v>
      </c>
      <c r="M18" s="120">
        <v>5</v>
      </c>
      <c r="N18" s="120">
        <v>6</v>
      </c>
      <c r="O18" s="110" t="s">
        <v>34</v>
      </c>
      <c r="P18" s="119" t="s">
        <v>35</v>
      </c>
      <c r="Q18" s="119" t="s">
        <v>13</v>
      </c>
    </row>
    <row r="19" spans="1:17" s="106" customFormat="1" ht="20.100000000000001" customHeight="1">
      <c r="A19" s="85">
        <v>1</v>
      </c>
      <c r="B19" s="117">
        <v>231</v>
      </c>
      <c r="C19" s="249" t="s">
        <v>337</v>
      </c>
      <c r="D19" s="250" t="s">
        <v>440</v>
      </c>
      <c r="E19" s="251" t="s">
        <v>441</v>
      </c>
      <c r="F19" s="252" t="s">
        <v>22</v>
      </c>
      <c r="G19" s="112"/>
      <c r="H19" s="109" t="s">
        <v>39</v>
      </c>
      <c r="I19" s="109" t="s">
        <v>39</v>
      </c>
      <c r="J19" s="109">
        <v>16.5</v>
      </c>
      <c r="K19" s="111">
        <v>6</v>
      </c>
      <c r="L19" s="109">
        <v>16.04</v>
      </c>
      <c r="M19" s="109" t="s">
        <v>39</v>
      </c>
      <c r="N19" s="109" t="s">
        <v>39</v>
      </c>
      <c r="O19" s="110">
        <f t="shared" ref="O19" si="0">MAX(H19:J19,L19:N19)</f>
        <v>16.5</v>
      </c>
      <c r="P19" s="109"/>
      <c r="Q19" s="253" t="s">
        <v>442</v>
      </c>
    </row>
  </sheetData>
  <mergeCells count="2">
    <mergeCell ref="H7:N7"/>
    <mergeCell ref="H17:N1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25"/>
  <sheetViews>
    <sheetView zoomScaleNormal="100" workbookViewId="0">
      <selection activeCell="A2" sqref="A2"/>
    </sheetView>
  </sheetViews>
  <sheetFormatPr defaultColWidth="9.140625" defaultRowHeight="12.75"/>
  <cols>
    <col min="1" max="1" width="5.42578125" style="460" customWidth="1"/>
    <col min="2" max="2" width="5" style="460" customWidth="1"/>
    <col min="3" max="3" width="10.28515625" style="460" customWidth="1"/>
    <col min="4" max="4" width="8.7109375" style="460" customWidth="1"/>
    <col min="5" max="5" width="12.42578125" style="481" customWidth="1"/>
    <col min="6" max="6" width="10.85546875" style="476" customWidth="1"/>
    <col min="7" max="7" width="6.42578125" style="464" customWidth="1"/>
    <col min="8" max="8" width="9" style="449" bestFit="1" customWidth="1"/>
    <col min="9" max="9" width="5.140625" style="465" customWidth="1"/>
    <col min="10" max="10" width="24.5703125" style="460" customWidth="1"/>
    <col min="11" max="12" width="6" style="450" customWidth="1"/>
    <col min="13" max="247" width="9.140625" style="460"/>
    <col min="248" max="16384" width="9.140625" style="451"/>
  </cols>
  <sheetData>
    <row r="1" spans="1:248" s="445" customFormat="1" ht="18.75">
      <c r="A1" s="444" t="s">
        <v>0</v>
      </c>
      <c r="E1" s="446"/>
      <c r="F1" s="447"/>
      <c r="G1" s="448"/>
      <c r="H1" s="449"/>
      <c r="I1" s="446"/>
      <c r="K1" s="450"/>
      <c r="L1" s="450"/>
      <c r="IN1" s="451"/>
    </row>
    <row r="2" spans="1:248" s="445" customFormat="1" ht="13.5" customHeight="1">
      <c r="E2" s="446"/>
      <c r="F2" s="447"/>
      <c r="G2" s="448"/>
      <c r="H2" s="449"/>
      <c r="I2" s="446"/>
      <c r="J2" s="452" t="s">
        <v>22</v>
      </c>
      <c r="K2" s="450"/>
      <c r="L2" s="450"/>
      <c r="IN2" s="451"/>
    </row>
    <row r="3" spans="1:248" s="453" customFormat="1" ht="4.5" customHeight="1">
      <c r="C3" s="454"/>
      <c r="E3" s="11">
        <v>1.1574074074074073E-5</v>
      </c>
      <c r="F3" s="455"/>
      <c r="G3" s="456"/>
      <c r="H3" s="457"/>
      <c r="I3" s="458"/>
      <c r="J3" s="459"/>
      <c r="K3" s="450"/>
      <c r="L3" s="450"/>
    </row>
    <row r="4" spans="1:248" ht="15.75">
      <c r="C4" s="461" t="s">
        <v>746</v>
      </c>
      <c r="E4" s="462"/>
      <c r="F4" s="463"/>
      <c r="J4" s="466" t="s">
        <v>3</v>
      </c>
    </row>
    <row r="5" spans="1:248" s="453" customFormat="1" ht="4.5" customHeight="1">
      <c r="C5" s="454"/>
      <c r="E5" s="467"/>
      <c r="F5" s="455"/>
      <c r="G5" s="456"/>
      <c r="H5" s="457"/>
      <c r="I5" s="458"/>
      <c r="J5" s="459"/>
      <c r="K5" s="450"/>
      <c r="L5" s="450"/>
    </row>
    <row r="6" spans="1:248" s="453" customFormat="1" ht="12.75" customHeight="1">
      <c r="C6" s="460"/>
      <c r="D6" s="468"/>
      <c r="E6" s="469"/>
      <c r="F6" s="470"/>
      <c r="G6" s="456"/>
      <c r="H6" s="457"/>
      <c r="I6" s="458"/>
      <c r="J6" s="459"/>
      <c r="K6" s="450"/>
      <c r="L6" s="450"/>
    </row>
    <row r="7" spans="1:248" s="453" customFormat="1" ht="6" customHeight="1">
      <c r="E7" s="471"/>
      <c r="F7" s="472"/>
      <c r="G7" s="456"/>
      <c r="H7" s="473"/>
      <c r="I7" s="458"/>
      <c r="J7" s="459"/>
      <c r="K7" s="450"/>
      <c r="L7" s="450"/>
    </row>
    <row r="8" spans="1:248" ht="15.75">
      <c r="D8" s="474" t="s">
        <v>29</v>
      </c>
      <c r="E8" s="474" t="s">
        <v>747</v>
      </c>
      <c r="F8" s="475" t="s">
        <v>748</v>
      </c>
      <c r="G8" s="451"/>
      <c r="H8" s="476"/>
      <c r="I8" s="450"/>
      <c r="J8" s="450"/>
      <c r="K8" s="460"/>
      <c r="L8" s="460"/>
      <c r="IL8" s="451"/>
      <c r="IM8" s="451"/>
    </row>
    <row r="9" spans="1:248" ht="15.75">
      <c r="D9" s="477">
        <v>1</v>
      </c>
      <c r="E9" s="478" t="s">
        <v>17</v>
      </c>
      <c r="F9" s="475">
        <v>16543</v>
      </c>
      <c r="G9" s="451"/>
      <c r="H9" s="476"/>
      <c r="I9" s="450"/>
      <c r="J9" s="450"/>
      <c r="K9" s="460"/>
      <c r="L9" s="460"/>
      <c r="IL9" s="451"/>
      <c r="IM9" s="451"/>
    </row>
    <row r="10" spans="1:248" ht="15.75">
      <c r="D10" s="477">
        <v>2</v>
      </c>
      <c r="E10" s="478" t="s">
        <v>54</v>
      </c>
      <c r="F10" s="475">
        <v>14332</v>
      </c>
      <c r="G10" s="451"/>
      <c r="H10" s="476"/>
      <c r="I10" s="450"/>
      <c r="J10" s="450"/>
      <c r="K10" s="460"/>
      <c r="L10" s="460"/>
      <c r="IL10" s="451"/>
      <c r="IM10" s="451"/>
    </row>
    <row r="11" spans="1:248" ht="15.75">
      <c r="D11" s="477">
        <v>3</v>
      </c>
      <c r="E11" s="478" t="s">
        <v>49</v>
      </c>
      <c r="F11" s="475">
        <v>14084</v>
      </c>
      <c r="G11" s="451"/>
      <c r="H11" s="476"/>
      <c r="I11" s="450"/>
      <c r="J11" s="450"/>
      <c r="K11" s="460"/>
      <c r="L11" s="460"/>
      <c r="IL11" s="451"/>
      <c r="IM11" s="451"/>
    </row>
    <row r="12" spans="1:248" ht="15.75">
      <c r="D12" s="479">
        <v>4</v>
      </c>
      <c r="E12" s="478" t="s">
        <v>243</v>
      </c>
      <c r="F12" s="480">
        <v>10729</v>
      </c>
      <c r="G12" s="451"/>
      <c r="H12" s="476"/>
      <c r="I12" s="450"/>
      <c r="J12" s="450"/>
      <c r="K12" s="460"/>
      <c r="L12" s="460"/>
      <c r="IL12" s="451"/>
      <c r="IM12" s="451"/>
    </row>
    <row r="13" spans="1:248" ht="15.75">
      <c r="D13" s="479">
        <v>5</v>
      </c>
      <c r="E13" s="478" t="s">
        <v>75</v>
      </c>
      <c r="F13" s="480">
        <v>9788</v>
      </c>
      <c r="G13" s="451"/>
      <c r="H13" s="476"/>
      <c r="I13" s="450"/>
      <c r="J13" s="450"/>
      <c r="K13" s="460"/>
      <c r="L13" s="460"/>
      <c r="IL13" s="451"/>
      <c r="IM13" s="451"/>
    </row>
    <row r="14" spans="1:248" ht="15.75">
      <c r="D14" s="479">
        <v>6</v>
      </c>
      <c r="E14" s="478" t="s">
        <v>184</v>
      </c>
      <c r="F14" s="480">
        <v>5329</v>
      </c>
      <c r="G14" s="451"/>
      <c r="H14" s="476"/>
      <c r="I14" s="450"/>
      <c r="J14" s="450"/>
      <c r="K14" s="460"/>
      <c r="L14" s="460"/>
      <c r="IL14" s="451"/>
      <c r="IM14" s="451"/>
    </row>
    <row r="15" spans="1:248" ht="15.75">
      <c r="D15" s="479">
        <v>7</v>
      </c>
      <c r="E15" s="478" t="s">
        <v>44</v>
      </c>
      <c r="F15" s="480">
        <v>5273</v>
      </c>
      <c r="G15" s="451"/>
      <c r="H15" s="476"/>
      <c r="I15" s="450"/>
      <c r="J15" s="450"/>
      <c r="K15" s="460"/>
      <c r="L15" s="460"/>
      <c r="IL15" s="451"/>
      <c r="IM15" s="451"/>
    </row>
    <row r="16" spans="1:248" ht="15.75">
      <c r="D16" s="479">
        <v>8</v>
      </c>
      <c r="E16" s="478" t="s">
        <v>212</v>
      </c>
      <c r="F16" s="480">
        <v>5264</v>
      </c>
      <c r="G16" s="451"/>
      <c r="H16" s="476"/>
      <c r="I16" s="450"/>
      <c r="J16" s="450"/>
      <c r="K16" s="460"/>
      <c r="L16" s="460"/>
      <c r="IL16" s="451"/>
      <c r="IM16" s="451"/>
    </row>
    <row r="17" spans="2:247" ht="15.75">
      <c r="D17" s="479">
        <v>9</v>
      </c>
      <c r="E17" s="478" t="s">
        <v>88</v>
      </c>
      <c r="F17" s="480">
        <v>5170</v>
      </c>
      <c r="G17" s="451"/>
      <c r="H17" s="476"/>
      <c r="I17" s="450"/>
      <c r="J17" s="450"/>
      <c r="K17" s="460"/>
      <c r="L17" s="460"/>
      <c r="IL17" s="451"/>
      <c r="IM17" s="451"/>
    </row>
    <row r="18" spans="2:247" ht="15.75">
      <c r="D18" s="479">
        <v>10</v>
      </c>
      <c r="E18" s="478" t="s">
        <v>539</v>
      </c>
      <c r="F18" s="480">
        <v>1615</v>
      </c>
      <c r="G18" s="451"/>
      <c r="H18" s="476"/>
      <c r="I18" s="450"/>
      <c r="J18" s="450"/>
      <c r="K18" s="460"/>
      <c r="L18" s="460"/>
      <c r="IL18" s="451"/>
      <c r="IM18" s="451"/>
    </row>
    <row r="19" spans="2:247" ht="15.75">
      <c r="D19" s="479">
        <v>11</v>
      </c>
      <c r="E19" s="478" t="s">
        <v>59</v>
      </c>
      <c r="F19" s="480">
        <v>747</v>
      </c>
      <c r="G19" s="451"/>
      <c r="H19" s="476"/>
      <c r="I19" s="450"/>
      <c r="J19" s="450"/>
      <c r="K19" s="460"/>
      <c r="L19" s="460"/>
      <c r="IL19" s="451"/>
      <c r="IM19" s="451"/>
    </row>
    <row r="23" spans="2:247">
      <c r="B23" s="280" t="s">
        <v>483</v>
      </c>
      <c r="C23" s="280"/>
      <c r="D23" s="280"/>
      <c r="E23" s="280"/>
      <c r="F23" s="280"/>
      <c r="G23" s="280"/>
      <c r="H23" s="280"/>
      <c r="I23" s="280" t="s">
        <v>480</v>
      </c>
    </row>
    <row r="24" spans="2:247">
      <c r="B24" s="280"/>
      <c r="C24" s="280"/>
      <c r="D24" s="280"/>
      <c r="E24" s="280"/>
      <c r="F24" s="280"/>
      <c r="G24" s="280"/>
      <c r="H24" s="280"/>
      <c r="I24" s="280"/>
    </row>
    <row r="25" spans="2:247">
      <c r="B25" s="280" t="s">
        <v>481</v>
      </c>
      <c r="C25" s="280"/>
      <c r="D25" s="280"/>
      <c r="E25" s="280"/>
      <c r="F25" s="280"/>
      <c r="G25" s="280"/>
      <c r="H25" s="280"/>
      <c r="I25" s="280" t="s">
        <v>482</v>
      </c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4"/>
  <sheetViews>
    <sheetView zoomScale="120" zoomScaleNormal="120" workbookViewId="0">
      <selection activeCell="A2" sqref="A2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6.28515625" style="18" customWidth="1"/>
    <col min="5" max="5" width="9.5703125" style="168" customWidth="1"/>
    <col min="6" max="6" width="10.85546875" style="56" customWidth="1"/>
    <col min="7" max="7" width="6.42578125" style="22" customWidth="1"/>
    <col min="8" max="8" width="6" style="71" customWidth="1"/>
    <col min="9" max="9" width="4.7109375" style="143" customWidth="1"/>
    <col min="10" max="10" width="7" style="71" hidden="1" customWidth="1"/>
    <col min="11" max="11" width="4.7109375" style="143" hidden="1" customWidth="1"/>
    <col min="12" max="12" width="5.140625" style="24" customWidth="1"/>
    <col min="13" max="13" width="24.5703125" style="18" customWidth="1"/>
    <col min="14" max="14" width="4.42578125" style="18" hidden="1" customWidth="1"/>
    <col min="15" max="15" width="4.28515625" style="18" hidden="1" customWidth="1"/>
    <col min="16" max="16" width="4.28515625" style="145" hidden="1" customWidth="1"/>
    <col min="17" max="142" width="9.140625" style="18"/>
    <col min="143" max="16384" width="9.140625" style="7"/>
  </cols>
  <sheetData>
    <row r="1" spans="1:145" s="2" customFormat="1" ht="18.75">
      <c r="A1" s="1" t="s">
        <v>0</v>
      </c>
      <c r="E1" s="142"/>
      <c r="F1" s="4"/>
      <c r="G1" s="5"/>
      <c r="H1" s="71"/>
      <c r="I1" s="143"/>
      <c r="J1" s="71"/>
      <c r="K1" s="143"/>
      <c r="L1" s="3"/>
      <c r="P1" s="145"/>
      <c r="EM1" s="7"/>
    </row>
    <row r="2" spans="1:145" s="2" customFormat="1" ht="13.15" customHeight="1">
      <c r="E2" s="142"/>
      <c r="F2" s="4"/>
      <c r="G2" s="5"/>
      <c r="H2" s="71"/>
      <c r="I2" s="143"/>
      <c r="J2" s="71"/>
      <c r="K2" s="143"/>
      <c r="L2" s="3"/>
      <c r="M2" s="8" t="s">
        <v>1</v>
      </c>
      <c r="P2" s="145"/>
      <c r="EM2" s="7"/>
    </row>
    <row r="3" spans="1:145" s="9" customFormat="1" ht="4.5" customHeight="1">
      <c r="C3" s="10"/>
      <c r="E3" s="146"/>
      <c r="F3" s="12"/>
      <c r="G3" s="13"/>
      <c r="H3" s="147"/>
      <c r="I3" s="148"/>
      <c r="J3" s="147"/>
      <c r="K3" s="148"/>
      <c r="L3" s="16"/>
      <c r="M3" s="17"/>
      <c r="P3" s="145"/>
    </row>
    <row r="4" spans="1:145" ht="15.75">
      <c r="C4" s="19" t="s">
        <v>305</v>
      </c>
      <c r="E4" s="150"/>
      <c r="F4" s="21"/>
      <c r="M4" s="25" t="s">
        <v>3</v>
      </c>
    </row>
    <row r="5" spans="1:145" s="9" customFormat="1" ht="4.5" customHeight="1">
      <c r="C5" s="10"/>
      <c r="E5" s="146"/>
      <c r="F5" s="12"/>
      <c r="G5" s="13"/>
      <c r="H5" s="147"/>
      <c r="I5" s="148"/>
      <c r="J5" s="147"/>
      <c r="K5" s="148"/>
      <c r="L5" s="16"/>
      <c r="M5" s="17"/>
      <c r="P5" s="145"/>
    </row>
    <row r="6" spans="1:145" s="9" customFormat="1" ht="10.5" customHeight="1">
      <c r="C6" s="18"/>
      <c r="D6" s="27">
        <v>1</v>
      </c>
      <c r="E6" s="151" t="s">
        <v>444</v>
      </c>
      <c r="F6" s="29"/>
      <c r="G6" s="13"/>
      <c r="H6" s="147"/>
      <c r="I6" s="148"/>
      <c r="J6" s="147"/>
      <c r="K6" s="148"/>
      <c r="L6" s="16"/>
      <c r="M6" s="17"/>
      <c r="P6" s="145"/>
    </row>
    <row r="7" spans="1:145" s="9" customFormat="1" ht="3.75" customHeight="1">
      <c r="E7" s="152"/>
      <c r="F7" s="31"/>
      <c r="G7" s="13"/>
      <c r="H7" s="153"/>
      <c r="I7" s="148"/>
      <c r="J7" s="153"/>
      <c r="K7" s="148"/>
      <c r="L7" s="16"/>
      <c r="M7" s="17"/>
      <c r="P7" s="145"/>
    </row>
    <row r="8" spans="1:145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100</v>
      </c>
      <c r="I8" s="156" t="s">
        <v>101</v>
      </c>
      <c r="J8" s="155" t="s">
        <v>102</v>
      </c>
      <c r="K8" s="156" t="s">
        <v>101</v>
      </c>
      <c r="L8" s="42" t="s">
        <v>12</v>
      </c>
      <c r="M8" s="33" t="s">
        <v>13</v>
      </c>
      <c r="N8" s="18" t="s">
        <v>103</v>
      </c>
      <c r="O8" s="18" t="s">
        <v>104</v>
      </c>
      <c r="P8" s="157" t="s">
        <v>99</v>
      </c>
    </row>
    <row r="9" spans="1:145" s="54" customFormat="1" ht="16.350000000000001" customHeight="1">
      <c r="A9" s="158">
        <v>1</v>
      </c>
      <c r="B9" s="159">
        <v>389</v>
      </c>
      <c r="C9" s="160" t="s">
        <v>333</v>
      </c>
      <c r="D9" s="161" t="s">
        <v>334</v>
      </c>
      <c r="E9" s="47" t="s">
        <v>335</v>
      </c>
      <c r="F9" s="48" t="s">
        <v>17</v>
      </c>
      <c r="G9" s="242">
        <f>IF(ISBLANK(H9),"",TRUNC(68.6*(H9-10.7)^2))</f>
        <v>797</v>
      </c>
      <c r="H9" s="243">
        <v>7.29</v>
      </c>
      <c r="I9" s="244">
        <v>0.17799999999999999</v>
      </c>
      <c r="J9" s="243"/>
      <c r="K9" s="244"/>
      <c r="L9" s="245" t="str">
        <f t="shared" ref="L9:L14" si="0">IF(ISBLANK(H9),"",IF(H9&gt;8.1,"",IF(H9&lt;=6.7,"TSM",IF(H9&lt;=6.84,"SM",IF(H9&lt;=7,"KSM",IF(H9&lt;=7.3,"I A",IF(H9&lt;=7.65,"II A",IF(H9&lt;=8.1,"III A"))))))))</f>
        <v>I A</v>
      </c>
      <c r="M9" s="52" t="s">
        <v>127</v>
      </c>
      <c r="N9" s="247" t="s">
        <v>336</v>
      </c>
      <c r="O9" s="254">
        <v>1</v>
      </c>
      <c r="P9" s="157">
        <v>4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</row>
    <row r="10" spans="1:145" s="54" customFormat="1" ht="16.350000000000001" customHeight="1">
      <c r="A10" s="158">
        <v>2</v>
      </c>
      <c r="B10" s="159">
        <v>291</v>
      </c>
      <c r="C10" s="160" t="s">
        <v>349</v>
      </c>
      <c r="D10" s="161" t="s">
        <v>350</v>
      </c>
      <c r="E10" s="47" t="s">
        <v>351</v>
      </c>
      <c r="F10" s="48" t="s">
        <v>49</v>
      </c>
      <c r="G10" s="242">
        <f>IF(ISBLANK(H10),"",TRUNC(68.6*(H10-10.7)^2))</f>
        <v>621</v>
      </c>
      <c r="H10" s="243">
        <v>7.69</v>
      </c>
      <c r="I10" s="244">
        <v>0.19600000000000001</v>
      </c>
      <c r="J10" s="243"/>
      <c r="K10" s="244"/>
      <c r="L10" s="245" t="str">
        <f t="shared" si="0"/>
        <v>III A</v>
      </c>
      <c r="M10" s="52" t="s">
        <v>352</v>
      </c>
      <c r="N10" s="247" t="s">
        <v>353</v>
      </c>
      <c r="O10" s="254">
        <v>1</v>
      </c>
      <c r="P10" s="157">
        <v>6</v>
      </c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</row>
    <row r="11" spans="1:145" s="54" customFormat="1" ht="16.350000000000001" customHeight="1">
      <c r="A11" s="158">
        <v>3</v>
      </c>
      <c r="B11" s="159">
        <v>309</v>
      </c>
      <c r="C11" s="160" t="s">
        <v>358</v>
      </c>
      <c r="D11" s="161" t="s">
        <v>359</v>
      </c>
      <c r="E11" s="47" t="s">
        <v>360</v>
      </c>
      <c r="F11" s="48" t="s">
        <v>243</v>
      </c>
      <c r="G11" s="242">
        <f>IF(ISBLANK(H11),"",TRUNC(68.6*(H11-10.7)^2))</f>
        <v>492</v>
      </c>
      <c r="H11" s="243">
        <v>8.02</v>
      </c>
      <c r="I11" s="244">
        <v>0.17599999999999999</v>
      </c>
      <c r="J11" s="243"/>
      <c r="K11" s="244"/>
      <c r="L11" s="245" t="str">
        <f t="shared" si="0"/>
        <v>III A</v>
      </c>
      <c r="M11" s="52" t="s">
        <v>264</v>
      </c>
      <c r="N11" s="247" t="s">
        <v>108</v>
      </c>
      <c r="O11" s="254">
        <v>1</v>
      </c>
      <c r="P11" s="157">
        <v>1</v>
      </c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</row>
    <row r="12" spans="1:145" s="54" customFormat="1" ht="16.350000000000001" customHeight="1">
      <c r="A12" s="158" t="s">
        <v>207</v>
      </c>
      <c r="B12" s="159">
        <v>341</v>
      </c>
      <c r="C12" s="160" t="s">
        <v>361</v>
      </c>
      <c r="D12" s="161" t="s">
        <v>362</v>
      </c>
      <c r="E12" s="47" t="s">
        <v>363</v>
      </c>
      <c r="F12" s="48" t="s">
        <v>138</v>
      </c>
      <c r="G12" s="242" t="s">
        <v>23</v>
      </c>
      <c r="H12" s="243">
        <v>7</v>
      </c>
      <c r="I12" s="244">
        <v>0.159</v>
      </c>
      <c r="J12" s="243"/>
      <c r="K12" s="244"/>
      <c r="L12" s="245" t="str">
        <f t="shared" si="0"/>
        <v>KSM</v>
      </c>
      <c r="M12" s="52" t="s">
        <v>364</v>
      </c>
      <c r="N12" s="247" t="s">
        <v>365</v>
      </c>
      <c r="O12" s="254">
        <v>1</v>
      </c>
      <c r="P12" s="157">
        <v>3</v>
      </c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</row>
    <row r="13" spans="1:145" s="54" customFormat="1" ht="16.350000000000001" customHeight="1">
      <c r="A13" s="158" t="s">
        <v>207</v>
      </c>
      <c r="B13" s="159">
        <v>336</v>
      </c>
      <c r="C13" s="160" t="s">
        <v>268</v>
      </c>
      <c r="D13" s="161" t="s">
        <v>379</v>
      </c>
      <c r="E13" s="47" t="s">
        <v>380</v>
      </c>
      <c r="F13" s="48" t="s">
        <v>205</v>
      </c>
      <c r="G13" s="242" t="s">
        <v>23</v>
      </c>
      <c r="H13" s="243">
        <v>7.4</v>
      </c>
      <c r="I13" s="244">
        <v>0.183</v>
      </c>
      <c r="J13" s="243"/>
      <c r="K13" s="244"/>
      <c r="L13" s="245" t="str">
        <f t="shared" si="0"/>
        <v>II A</v>
      </c>
      <c r="M13" s="52" t="s">
        <v>256</v>
      </c>
      <c r="N13" s="247" t="s">
        <v>336</v>
      </c>
      <c r="O13" s="254">
        <v>1</v>
      </c>
      <c r="P13" s="157">
        <v>5</v>
      </c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</row>
    <row r="14" spans="1:145" s="54" customFormat="1" ht="16.350000000000001" customHeight="1">
      <c r="A14" s="158" t="s">
        <v>207</v>
      </c>
      <c r="B14" s="159">
        <v>331</v>
      </c>
      <c r="C14" s="160" t="s">
        <v>381</v>
      </c>
      <c r="D14" s="161" t="s">
        <v>382</v>
      </c>
      <c r="E14" s="47" t="s">
        <v>383</v>
      </c>
      <c r="F14" s="48" t="s">
        <v>205</v>
      </c>
      <c r="G14" s="242" t="s">
        <v>23</v>
      </c>
      <c r="H14" s="243">
        <v>7.49</v>
      </c>
      <c r="I14" s="244">
        <v>0.17499999999999999</v>
      </c>
      <c r="J14" s="243"/>
      <c r="K14" s="244"/>
      <c r="L14" s="245" t="str">
        <f t="shared" si="0"/>
        <v>II A</v>
      </c>
      <c r="M14" s="52" t="s">
        <v>384</v>
      </c>
      <c r="N14" s="247" t="s">
        <v>385</v>
      </c>
      <c r="O14" s="254">
        <v>1</v>
      </c>
      <c r="P14" s="157">
        <v>2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</row>
    <row r="15" spans="1:145" s="9" customFormat="1" ht="4.5" customHeight="1">
      <c r="C15" s="10"/>
      <c r="E15" s="146"/>
      <c r="F15" s="12"/>
      <c r="G15" s="13"/>
      <c r="H15" s="147"/>
      <c r="I15" s="148"/>
      <c r="J15" s="147"/>
      <c r="K15" s="148"/>
      <c r="L15" s="16"/>
      <c r="M15" s="17"/>
      <c r="P15" s="145"/>
    </row>
    <row r="16" spans="1:145" s="9" customFormat="1" ht="10.5" customHeight="1">
      <c r="C16" s="18"/>
      <c r="D16" s="27">
        <v>2</v>
      </c>
      <c r="E16" s="151" t="s">
        <v>444</v>
      </c>
      <c r="F16" s="29"/>
      <c r="G16" s="13"/>
      <c r="H16" s="147"/>
      <c r="I16" s="148"/>
      <c r="J16" s="147"/>
      <c r="K16" s="148"/>
      <c r="L16" s="16"/>
      <c r="M16" s="17"/>
      <c r="P16" s="145"/>
    </row>
    <row r="17" spans="1:145" s="9" customFormat="1" ht="3.75" customHeight="1">
      <c r="E17" s="152"/>
      <c r="F17" s="31"/>
      <c r="G17" s="13"/>
      <c r="H17" s="153"/>
      <c r="I17" s="148"/>
      <c r="J17" s="153"/>
      <c r="K17" s="148"/>
      <c r="L17" s="16"/>
      <c r="M17" s="17"/>
      <c r="P17" s="145"/>
    </row>
    <row r="18" spans="1:145" ht="11.25" customHeight="1">
      <c r="A18" s="33" t="s">
        <v>29</v>
      </c>
      <c r="B18" s="33" t="s">
        <v>4</v>
      </c>
      <c r="C18" s="35" t="s">
        <v>5</v>
      </c>
      <c r="D18" s="36" t="s">
        <v>6</v>
      </c>
      <c r="E18" s="154" t="s">
        <v>7</v>
      </c>
      <c r="F18" s="38" t="s">
        <v>8</v>
      </c>
      <c r="G18" s="39" t="s">
        <v>9</v>
      </c>
      <c r="H18" s="155" t="s">
        <v>100</v>
      </c>
      <c r="I18" s="156" t="s">
        <v>101</v>
      </c>
      <c r="J18" s="155" t="s">
        <v>102</v>
      </c>
      <c r="K18" s="156" t="s">
        <v>101</v>
      </c>
      <c r="L18" s="42" t="s">
        <v>12</v>
      </c>
      <c r="M18" s="33" t="s">
        <v>13</v>
      </c>
      <c r="N18" s="18" t="s">
        <v>103</v>
      </c>
      <c r="O18" s="18" t="s">
        <v>104</v>
      </c>
      <c r="P18" s="157" t="s">
        <v>99</v>
      </c>
    </row>
    <row r="19" spans="1:145" s="54" customFormat="1" ht="16.350000000000001" customHeight="1">
      <c r="A19" s="158">
        <v>1</v>
      </c>
      <c r="B19" s="159">
        <v>385</v>
      </c>
      <c r="C19" s="160" t="s">
        <v>307</v>
      </c>
      <c r="D19" s="161" t="s">
        <v>308</v>
      </c>
      <c r="E19" s="47" t="s">
        <v>309</v>
      </c>
      <c r="F19" s="48" t="s">
        <v>17</v>
      </c>
      <c r="G19" s="242">
        <f>IF(ISBLANK(H19),"",TRUNC(68.6*(H19-10.7)^2))</f>
        <v>949</v>
      </c>
      <c r="H19" s="243">
        <v>6.98</v>
      </c>
      <c r="I19" s="244">
        <v>0.14499999999999999</v>
      </c>
      <c r="J19" s="243"/>
      <c r="K19" s="244"/>
      <c r="L19" s="245" t="str">
        <f t="shared" ref="L19:L24" si="1">IF(ISBLANK(H19),"",IF(H19&gt;8.1,"",IF(H19&lt;=6.7,"TSM",IF(H19&lt;=6.84,"SM",IF(H19&lt;=7,"KSM",IF(H19&lt;=7.3,"I A",IF(H19&lt;=7.65,"II A",IF(H19&lt;=8.1,"III A"))))))))</f>
        <v>KSM</v>
      </c>
      <c r="M19" s="52" t="s">
        <v>310</v>
      </c>
      <c r="N19" s="247" t="s">
        <v>311</v>
      </c>
      <c r="O19" s="254">
        <v>2</v>
      </c>
      <c r="P19" s="157">
        <v>3</v>
      </c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</row>
    <row r="20" spans="1:145" s="54" customFormat="1" ht="16.350000000000001" customHeight="1">
      <c r="A20" s="158">
        <v>2</v>
      </c>
      <c r="B20" s="159">
        <v>362</v>
      </c>
      <c r="C20" s="160" t="s">
        <v>337</v>
      </c>
      <c r="D20" s="161" t="s">
        <v>338</v>
      </c>
      <c r="E20" s="47" t="s">
        <v>339</v>
      </c>
      <c r="F20" s="48" t="s">
        <v>54</v>
      </c>
      <c r="G20" s="242">
        <f>IF(ISBLANK(H20),"",TRUNC(68.6*(H20-10.7)^2))</f>
        <v>788</v>
      </c>
      <c r="H20" s="243">
        <v>7.31</v>
      </c>
      <c r="I20" s="244">
        <v>0.17100000000000001</v>
      </c>
      <c r="J20" s="243"/>
      <c r="K20" s="244"/>
      <c r="L20" s="245" t="str">
        <f t="shared" si="1"/>
        <v>II A</v>
      </c>
      <c r="M20" s="52" t="s">
        <v>340</v>
      </c>
      <c r="N20" s="247" t="s">
        <v>108</v>
      </c>
      <c r="O20" s="254">
        <v>2</v>
      </c>
      <c r="P20" s="157">
        <v>1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</row>
    <row r="21" spans="1:145" s="54" customFormat="1" ht="16.350000000000001" customHeight="1">
      <c r="A21" s="158" t="s">
        <v>23</v>
      </c>
      <c r="B21" s="159">
        <v>256</v>
      </c>
      <c r="C21" s="160" t="s">
        <v>366</v>
      </c>
      <c r="D21" s="161" t="s">
        <v>367</v>
      </c>
      <c r="E21" s="47" t="s">
        <v>368</v>
      </c>
      <c r="F21" s="48" t="s">
        <v>22</v>
      </c>
      <c r="G21" s="242" t="s">
        <v>23</v>
      </c>
      <c r="H21" s="243">
        <v>7.23</v>
      </c>
      <c r="I21" s="244">
        <v>0.13300000000000001</v>
      </c>
      <c r="J21" s="243"/>
      <c r="K21" s="244"/>
      <c r="L21" s="245" t="str">
        <f t="shared" si="1"/>
        <v>I A</v>
      </c>
      <c r="M21" s="52" t="s">
        <v>369</v>
      </c>
      <c r="N21" s="247" t="s">
        <v>370</v>
      </c>
      <c r="O21" s="254">
        <v>2</v>
      </c>
      <c r="P21" s="157">
        <v>4</v>
      </c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</row>
    <row r="22" spans="1:145" s="54" customFormat="1" ht="16.350000000000001" customHeight="1">
      <c r="A22" s="158" t="s">
        <v>23</v>
      </c>
      <c r="B22" s="159">
        <v>273</v>
      </c>
      <c r="C22" s="160" t="s">
        <v>386</v>
      </c>
      <c r="D22" s="161" t="s">
        <v>387</v>
      </c>
      <c r="E22" s="47" t="s">
        <v>388</v>
      </c>
      <c r="F22" s="48" t="s">
        <v>22</v>
      </c>
      <c r="G22" s="242" t="s">
        <v>23</v>
      </c>
      <c r="H22" s="243">
        <v>7.58</v>
      </c>
      <c r="I22" s="244">
        <v>0.15</v>
      </c>
      <c r="J22" s="243"/>
      <c r="K22" s="244"/>
      <c r="L22" s="245" t="str">
        <f t="shared" si="1"/>
        <v>II A</v>
      </c>
      <c r="M22" s="52" t="s">
        <v>389</v>
      </c>
      <c r="N22" s="247" t="s">
        <v>390</v>
      </c>
      <c r="O22" s="254">
        <v>2</v>
      </c>
      <c r="P22" s="157">
        <v>2</v>
      </c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</row>
    <row r="23" spans="1:145" s="54" customFormat="1" ht="16.350000000000001" customHeight="1">
      <c r="A23" s="158" t="s">
        <v>23</v>
      </c>
      <c r="B23" s="159">
        <v>230</v>
      </c>
      <c r="C23" s="160" t="s">
        <v>391</v>
      </c>
      <c r="D23" s="161" t="s">
        <v>392</v>
      </c>
      <c r="E23" s="47" t="s">
        <v>393</v>
      </c>
      <c r="F23" s="48" t="s">
        <v>22</v>
      </c>
      <c r="G23" s="242" t="s">
        <v>23</v>
      </c>
      <c r="H23" s="243">
        <v>7.74</v>
      </c>
      <c r="I23" s="244">
        <v>0.248</v>
      </c>
      <c r="J23" s="243"/>
      <c r="K23" s="244"/>
      <c r="L23" s="245" t="str">
        <f t="shared" si="1"/>
        <v>III A</v>
      </c>
      <c r="M23" s="52" t="s">
        <v>127</v>
      </c>
      <c r="N23" s="247" t="s">
        <v>357</v>
      </c>
      <c r="O23" s="254">
        <v>2</v>
      </c>
      <c r="P23" s="157">
        <v>6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</row>
    <row r="24" spans="1:145" s="54" customFormat="1" ht="16.350000000000001" customHeight="1">
      <c r="A24" s="158"/>
      <c r="B24" s="159">
        <v>353</v>
      </c>
      <c r="C24" s="160" t="s">
        <v>401</v>
      </c>
      <c r="D24" s="161" t="s">
        <v>402</v>
      </c>
      <c r="E24" s="47" t="s">
        <v>328</v>
      </c>
      <c r="F24" s="48" t="s">
        <v>54</v>
      </c>
      <c r="G24" s="242"/>
      <c r="H24" s="243" t="s">
        <v>30</v>
      </c>
      <c r="I24" s="244"/>
      <c r="J24" s="243"/>
      <c r="K24" s="244"/>
      <c r="L24" s="245" t="str">
        <f t="shared" si="1"/>
        <v/>
      </c>
      <c r="M24" s="52" t="s">
        <v>403</v>
      </c>
      <c r="N24" s="247" t="s">
        <v>404</v>
      </c>
      <c r="O24" s="254">
        <v>2</v>
      </c>
      <c r="P24" s="157">
        <v>5</v>
      </c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</row>
    <row r="25" spans="1:145" s="9" customFormat="1" ht="4.5" customHeight="1">
      <c r="C25" s="10"/>
      <c r="E25" s="146"/>
      <c r="F25" s="12"/>
      <c r="G25" s="13"/>
      <c r="H25" s="147"/>
      <c r="I25" s="148"/>
      <c r="J25" s="147"/>
      <c r="K25" s="148"/>
      <c r="L25" s="16"/>
      <c r="M25" s="17"/>
      <c r="P25" s="145"/>
    </row>
    <row r="26" spans="1:145" s="9" customFormat="1" ht="10.5" customHeight="1">
      <c r="C26" s="18"/>
      <c r="D26" s="27">
        <v>3</v>
      </c>
      <c r="E26" s="151" t="s">
        <v>444</v>
      </c>
      <c r="F26" s="29"/>
      <c r="G26" s="13"/>
      <c r="H26" s="147"/>
      <c r="I26" s="148"/>
      <c r="J26" s="147"/>
      <c r="K26" s="148"/>
      <c r="L26" s="16"/>
      <c r="M26" s="17"/>
      <c r="P26" s="145"/>
    </row>
    <row r="27" spans="1:145" s="9" customFormat="1" ht="3.75" customHeight="1">
      <c r="E27" s="152"/>
      <c r="F27" s="31"/>
      <c r="G27" s="13"/>
      <c r="H27" s="153"/>
      <c r="I27" s="148"/>
      <c r="J27" s="153"/>
      <c r="K27" s="148"/>
      <c r="L27" s="16"/>
      <c r="M27" s="17"/>
      <c r="P27" s="145"/>
    </row>
    <row r="28" spans="1:145" ht="11.25" customHeight="1">
      <c r="A28" s="33" t="s">
        <v>29</v>
      </c>
      <c r="B28" s="33" t="s">
        <v>4</v>
      </c>
      <c r="C28" s="35" t="s">
        <v>5</v>
      </c>
      <c r="D28" s="36" t="s">
        <v>6</v>
      </c>
      <c r="E28" s="154" t="s">
        <v>7</v>
      </c>
      <c r="F28" s="38" t="s">
        <v>8</v>
      </c>
      <c r="G28" s="39" t="s">
        <v>9</v>
      </c>
      <c r="H28" s="155" t="s">
        <v>100</v>
      </c>
      <c r="I28" s="156" t="s">
        <v>101</v>
      </c>
      <c r="J28" s="155" t="s">
        <v>102</v>
      </c>
      <c r="K28" s="156" t="s">
        <v>101</v>
      </c>
      <c r="L28" s="42" t="s">
        <v>12</v>
      </c>
      <c r="M28" s="33" t="s">
        <v>13</v>
      </c>
      <c r="N28" s="18" t="s">
        <v>103</v>
      </c>
      <c r="O28" s="18" t="s">
        <v>104</v>
      </c>
      <c r="P28" s="157" t="s">
        <v>99</v>
      </c>
    </row>
    <row r="29" spans="1:145" s="54" customFormat="1" ht="16.350000000000001" customHeight="1">
      <c r="A29" s="158">
        <v>1</v>
      </c>
      <c r="B29" s="159">
        <v>388</v>
      </c>
      <c r="C29" s="160" t="s">
        <v>322</v>
      </c>
      <c r="D29" s="161" t="s">
        <v>323</v>
      </c>
      <c r="E29" s="47" t="s">
        <v>324</v>
      </c>
      <c r="F29" s="48" t="s">
        <v>17</v>
      </c>
      <c r="G29" s="242">
        <f>IF(ISBLANK(H29),"",TRUNC(68.6*(H29-10.7)^2))</f>
        <v>859</v>
      </c>
      <c r="H29" s="243">
        <v>7.16</v>
      </c>
      <c r="I29" s="244">
        <v>0.16800000000000001</v>
      </c>
      <c r="J29" s="243"/>
      <c r="K29" s="244"/>
      <c r="L29" s="245" t="str">
        <f t="shared" ref="L29:L34" si="2">IF(ISBLANK(H29),"",IF(H29&gt;8.1,"",IF(H29&lt;=6.7,"TSM",IF(H29&lt;=6.84,"SM",IF(H29&lt;=7,"KSM",IF(H29&lt;=7.3,"I A",IF(H29&lt;=7.65,"II A",IF(H29&lt;=8.1,"III A"))))))))</f>
        <v>I A</v>
      </c>
      <c r="M29" s="52" t="s">
        <v>127</v>
      </c>
      <c r="N29" s="247" t="s">
        <v>325</v>
      </c>
      <c r="O29" s="254">
        <v>3</v>
      </c>
      <c r="P29" s="157">
        <v>5</v>
      </c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</row>
    <row r="30" spans="1:145" s="54" customFormat="1" ht="16.350000000000001" customHeight="1">
      <c r="A30" s="158">
        <v>2</v>
      </c>
      <c r="B30" s="159">
        <v>346</v>
      </c>
      <c r="C30" s="160" t="s">
        <v>354</v>
      </c>
      <c r="D30" s="161" t="s">
        <v>355</v>
      </c>
      <c r="E30" s="47" t="s">
        <v>356</v>
      </c>
      <c r="F30" s="48" t="s">
        <v>54</v>
      </c>
      <c r="G30" s="242">
        <f>IF(ISBLANK(H30),"",TRUNC(68.6*(H30-10.7)^2))</f>
        <v>609</v>
      </c>
      <c r="H30" s="243">
        <v>7.72</v>
      </c>
      <c r="I30" s="244">
        <v>0.15</v>
      </c>
      <c r="J30" s="243"/>
      <c r="K30" s="244"/>
      <c r="L30" s="245" t="str">
        <f t="shared" si="2"/>
        <v>III A</v>
      </c>
      <c r="M30" s="52" t="s">
        <v>344</v>
      </c>
      <c r="N30" s="247" t="s">
        <v>357</v>
      </c>
      <c r="O30" s="254">
        <v>3</v>
      </c>
      <c r="P30" s="157">
        <v>6</v>
      </c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</row>
    <row r="31" spans="1:145" s="54" customFormat="1" ht="16.350000000000001" customHeight="1">
      <c r="A31" s="158" t="s">
        <v>23</v>
      </c>
      <c r="B31" s="159">
        <v>329</v>
      </c>
      <c r="C31" s="160" t="s">
        <v>268</v>
      </c>
      <c r="D31" s="161" t="s">
        <v>371</v>
      </c>
      <c r="E31" s="47" t="s">
        <v>372</v>
      </c>
      <c r="F31" s="48" t="s">
        <v>22</v>
      </c>
      <c r="G31" s="242" t="s">
        <v>23</v>
      </c>
      <c r="H31" s="243">
        <v>7.3</v>
      </c>
      <c r="I31" s="244">
        <v>0.13</v>
      </c>
      <c r="J31" s="243"/>
      <c r="K31" s="244"/>
      <c r="L31" s="245" t="str">
        <f t="shared" si="2"/>
        <v>I A</v>
      </c>
      <c r="M31" s="52" t="s">
        <v>373</v>
      </c>
      <c r="N31" s="247" t="s">
        <v>370</v>
      </c>
      <c r="O31" s="254">
        <v>3</v>
      </c>
      <c r="P31" s="157">
        <v>4</v>
      </c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</row>
    <row r="32" spans="1:145" s="54" customFormat="1" ht="16.350000000000001" customHeight="1">
      <c r="A32" s="158"/>
      <c r="B32" s="159">
        <v>352</v>
      </c>
      <c r="C32" s="160" t="s">
        <v>398</v>
      </c>
      <c r="D32" s="161" t="s">
        <v>399</v>
      </c>
      <c r="E32" s="47" t="s">
        <v>400</v>
      </c>
      <c r="F32" s="48" t="s">
        <v>54</v>
      </c>
      <c r="G32" s="242"/>
      <c r="H32" s="243" t="s">
        <v>30</v>
      </c>
      <c r="I32" s="244"/>
      <c r="J32" s="243"/>
      <c r="K32" s="244"/>
      <c r="L32" s="245" t="str">
        <f t="shared" si="2"/>
        <v/>
      </c>
      <c r="M32" s="52" t="s">
        <v>344</v>
      </c>
      <c r="N32" s="247" t="s">
        <v>316</v>
      </c>
      <c r="O32" s="254">
        <v>3</v>
      </c>
      <c r="P32" s="157">
        <v>3</v>
      </c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</row>
    <row r="33" spans="1:145" s="54" customFormat="1" ht="16.350000000000001" customHeight="1">
      <c r="A33" s="158"/>
      <c r="B33" s="159">
        <v>303</v>
      </c>
      <c r="C33" s="160" t="s">
        <v>405</v>
      </c>
      <c r="D33" s="161" t="s">
        <v>406</v>
      </c>
      <c r="E33" s="47" t="s">
        <v>407</v>
      </c>
      <c r="F33" s="48" t="s">
        <v>138</v>
      </c>
      <c r="G33" s="242" t="s">
        <v>23</v>
      </c>
      <c r="H33" s="243" t="s">
        <v>30</v>
      </c>
      <c r="I33" s="244"/>
      <c r="J33" s="243"/>
      <c r="K33" s="244"/>
      <c r="L33" s="245" t="str">
        <f t="shared" si="2"/>
        <v/>
      </c>
      <c r="M33" s="52" t="s">
        <v>408</v>
      </c>
      <c r="N33" s="247" t="s">
        <v>409</v>
      </c>
      <c r="O33" s="254">
        <v>3</v>
      </c>
      <c r="P33" s="157">
        <v>2</v>
      </c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</row>
    <row r="34" spans="1:145" s="54" customFormat="1" ht="16.350000000000001" customHeight="1">
      <c r="A34" s="158"/>
      <c r="B34" s="159">
        <v>257</v>
      </c>
      <c r="C34" s="160" t="s">
        <v>413</v>
      </c>
      <c r="D34" s="161" t="s">
        <v>414</v>
      </c>
      <c r="E34" s="47" t="s">
        <v>415</v>
      </c>
      <c r="F34" s="48" t="s">
        <v>88</v>
      </c>
      <c r="G34" s="242"/>
      <c r="H34" s="243" t="s">
        <v>30</v>
      </c>
      <c r="I34" s="244"/>
      <c r="J34" s="243"/>
      <c r="K34" s="244"/>
      <c r="L34" s="245" t="str">
        <f t="shared" si="2"/>
        <v/>
      </c>
      <c r="M34" s="52" t="s">
        <v>416</v>
      </c>
      <c r="N34" s="247" t="s">
        <v>108</v>
      </c>
      <c r="O34" s="254">
        <v>3</v>
      </c>
      <c r="P34" s="157">
        <v>1</v>
      </c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</row>
    <row r="35" spans="1:145" s="54" customFormat="1" ht="16.350000000000001" customHeight="1">
      <c r="A35" s="255"/>
      <c r="B35" s="255"/>
      <c r="C35" s="256"/>
      <c r="D35" s="257"/>
      <c r="E35" s="258"/>
      <c r="F35" s="259"/>
      <c r="G35" s="22"/>
      <c r="H35" s="71"/>
      <c r="I35" s="143"/>
      <c r="J35" s="71"/>
      <c r="K35" s="143"/>
      <c r="L35" s="24"/>
      <c r="M35" s="260"/>
      <c r="N35" s="247"/>
      <c r="O35" s="254"/>
      <c r="P35" s="157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</row>
    <row r="36" spans="1:145" s="54" customFormat="1" ht="16.350000000000001" customHeight="1">
      <c r="A36" s="255"/>
      <c r="B36" s="255"/>
      <c r="C36" s="256"/>
      <c r="D36" s="257"/>
      <c r="E36" s="258"/>
      <c r="F36" s="259"/>
      <c r="G36" s="22"/>
      <c r="H36" s="71"/>
      <c r="I36" s="143"/>
      <c r="J36" s="71"/>
      <c r="K36" s="143"/>
      <c r="L36" s="24"/>
      <c r="M36" s="260"/>
      <c r="N36" s="247"/>
      <c r="O36" s="254"/>
      <c r="P36" s="157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</row>
    <row r="37" spans="1:145" s="54" customFormat="1" ht="16.350000000000001" customHeight="1">
      <c r="A37" s="255"/>
      <c r="B37" s="255"/>
      <c r="C37" s="256"/>
      <c r="D37" s="257"/>
      <c r="E37" s="258"/>
      <c r="F37" s="259"/>
      <c r="G37" s="22"/>
      <c r="H37" s="71"/>
      <c r="I37" s="143"/>
      <c r="J37" s="71"/>
      <c r="K37" s="143"/>
      <c r="L37" s="24"/>
      <c r="M37" s="260"/>
      <c r="N37" s="247"/>
      <c r="O37" s="254"/>
      <c r="P37" s="157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</row>
    <row r="38" spans="1:145" s="54" customFormat="1" ht="16.350000000000001" customHeight="1">
      <c r="A38" s="255"/>
      <c r="B38" s="255"/>
      <c r="C38" s="256"/>
      <c r="D38" s="257"/>
      <c r="E38" s="258"/>
      <c r="F38" s="259"/>
      <c r="G38" s="22"/>
      <c r="H38" s="71"/>
      <c r="I38" s="143"/>
      <c r="J38" s="71"/>
      <c r="K38" s="143"/>
      <c r="L38" s="24"/>
      <c r="M38" s="260"/>
      <c r="N38" s="247"/>
      <c r="O38" s="254"/>
      <c r="P38" s="157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</row>
    <row r="39" spans="1:145" s="54" customFormat="1" ht="16.350000000000001" customHeight="1">
      <c r="A39" s="255"/>
      <c r="B39" s="255"/>
      <c r="C39" s="256"/>
      <c r="D39" s="257"/>
      <c r="E39" s="258"/>
      <c r="F39" s="259"/>
      <c r="G39" s="22"/>
      <c r="H39" s="71"/>
      <c r="I39" s="143"/>
      <c r="J39" s="71"/>
      <c r="K39" s="143"/>
      <c r="L39" s="24"/>
      <c r="M39" s="260"/>
      <c r="N39" s="247"/>
      <c r="O39" s="254"/>
      <c r="P39" s="157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</row>
    <row r="40" spans="1:145" s="54" customFormat="1" ht="16.350000000000001" customHeight="1">
      <c r="A40" s="255"/>
      <c r="B40" s="255"/>
      <c r="C40" s="256"/>
      <c r="D40" s="257"/>
      <c r="E40" s="258"/>
      <c r="F40" s="259"/>
      <c r="G40" s="22"/>
      <c r="H40" s="71"/>
      <c r="I40" s="143"/>
      <c r="J40" s="71"/>
      <c r="K40" s="143"/>
      <c r="L40" s="24"/>
      <c r="M40" s="260"/>
      <c r="N40" s="247"/>
      <c r="O40" s="254"/>
      <c r="P40" s="157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</row>
    <row r="41" spans="1:145" s="54" customFormat="1" ht="16.350000000000001" customHeight="1">
      <c r="A41" s="255"/>
      <c r="B41" s="255"/>
      <c r="C41" s="256"/>
      <c r="D41" s="257"/>
      <c r="E41" s="258"/>
      <c r="F41" s="259"/>
      <c r="G41" s="22"/>
      <c r="H41" s="71"/>
      <c r="I41" s="143"/>
      <c r="J41" s="71"/>
      <c r="K41" s="143"/>
      <c r="L41" s="24"/>
      <c r="M41" s="260"/>
      <c r="N41" s="247"/>
      <c r="O41" s="254"/>
      <c r="P41" s="157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</row>
    <row r="42" spans="1:145" s="54" customFormat="1" ht="16.350000000000001" customHeight="1">
      <c r="A42" s="255"/>
      <c r="B42" s="255"/>
      <c r="C42" s="256"/>
      <c r="D42" s="257"/>
      <c r="E42" s="258"/>
      <c r="F42" s="259"/>
      <c r="G42" s="22"/>
      <c r="H42" s="71"/>
      <c r="I42" s="143"/>
      <c r="J42" s="71"/>
      <c r="K42" s="143"/>
      <c r="L42" s="24"/>
      <c r="M42" s="260"/>
      <c r="N42" s="247"/>
      <c r="O42" s="254"/>
      <c r="P42" s="157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</row>
    <row r="43" spans="1:145" s="54" customFormat="1" ht="16.350000000000001" customHeight="1">
      <c r="A43" s="255"/>
      <c r="B43" s="255"/>
      <c r="C43" s="256"/>
      <c r="D43" s="257"/>
      <c r="E43" s="258"/>
      <c r="F43" s="259"/>
      <c r="G43" s="22"/>
      <c r="H43" s="71"/>
      <c r="I43" s="143"/>
      <c r="J43" s="71"/>
      <c r="K43" s="143"/>
      <c r="L43" s="24"/>
      <c r="M43" s="260"/>
      <c r="N43" s="247"/>
      <c r="O43" s="254"/>
      <c r="P43" s="157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</row>
    <row r="44" spans="1:145" s="9" customFormat="1" ht="4.5" customHeight="1">
      <c r="C44" s="10"/>
      <c r="E44" s="146"/>
      <c r="F44" s="12"/>
      <c r="G44" s="22"/>
      <c r="H44" s="71"/>
      <c r="I44" s="143"/>
      <c r="J44" s="71"/>
      <c r="K44" s="143"/>
      <c r="L44" s="24"/>
      <c r="M44" s="17"/>
      <c r="P44" s="145"/>
    </row>
    <row r="45" spans="1:145" ht="15.75">
      <c r="C45" s="19" t="s">
        <v>305</v>
      </c>
      <c r="E45" s="150"/>
      <c r="F45" s="21"/>
      <c r="M45" s="25"/>
    </row>
    <row r="46" spans="1:145" s="9" customFormat="1" ht="4.5" customHeight="1">
      <c r="C46" s="10"/>
      <c r="E46" s="146"/>
      <c r="F46" s="12"/>
      <c r="G46" s="13"/>
      <c r="H46" s="147"/>
      <c r="I46" s="148"/>
      <c r="J46" s="147"/>
      <c r="K46" s="148"/>
      <c r="L46" s="16"/>
      <c r="M46" s="17"/>
      <c r="P46" s="145"/>
    </row>
    <row r="47" spans="1:145" s="9" customFormat="1" ht="10.5" customHeight="1">
      <c r="C47" s="18"/>
      <c r="D47" s="27">
        <v>4</v>
      </c>
      <c r="E47" s="151" t="s">
        <v>444</v>
      </c>
      <c r="F47" s="29"/>
      <c r="G47" s="13"/>
      <c r="H47" s="147"/>
      <c r="I47" s="148"/>
      <c r="J47" s="147"/>
      <c r="K47" s="148"/>
      <c r="L47" s="16"/>
      <c r="M47" s="17"/>
      <c r="P47" s="145"/>
    </row>
    <row r="48" spans="1:145" s="9" customFormat="1" ht="3.75" customHeight="1">
      <c r="E48" s="152"/>
      <c r="F48" s="31"/>
      <c r="G48" s="13"/>
      <c r="H48" s="153"/>
      <c r="I48" s="148"/>
      <c r="J48" s="153"/>
      <c r="K48" s="148"/>
      <c r="L48" s="16"/>
      <c r="M48" s="17"/>
      <c r="P48" s="145"/>
    </row>
    <row r="49" spans="1:145" ht="11.25" customHeight="1">
      <c r="A49" s="33" t="s">
        <v>29</v>
      </c>
      <c r="B49" s="33" t="s">
        <v>4</v>
      </c>
      <c r="C49" s="35" t="s">
        <v>5</v>
      </c>
      <c r="D49" s="36" t="s">
        <v>6</v>
      </c>
      <c r="E49" s="154" t="s">
        <v>7</v>
      </c>
      <c r="F49" s="38" t="s">
        <v>8</v>
      </c>
      <c r="G49" s="39" t="s">
        <v>9</v>
      </c>
      <c r="H49" s="155" t="s">
        <v>100</v>
      </c>
      <c r="I49" s="156" t="s">
        <v>101</v>
      </c>
      <c r="J49" s="155" t="s">
        <v>102</v>
      </c>
      <c r="K49" s="156" t="s">
        <v>101</v>
      </c>
      <c r="L49" s="42" t="s">
        <v>12</v>
      </c>
      <c r="M49" s="33" t="s">
        <v>13</v>
      </c>
      <c r="N49" s="18" t="s">
        <v>103</v>
      </c>
      <c r="O49" s="18" t="s">
        <v>104</v>
      </c>
      <c r="P49" s="157" t="s">
        <v>99</v>
      </c>
    </row>
    <row r="50" spans="1:145" s="54" customFormat="1" ht="16.350000000000001" customHeight="1">
      <c r="A50" s="158">
        <v>1</v>
      </c>
      <c r="B50" s="159">
        <v>311</v>
      </c>
      <c r="C50" s="160" t="s">
        <v>312</v>
      </c>
      <c r="D50" s="161" t="s">
        <v>313</v>
      </c>
      <c r="E50" s="47" t="s">
        <v>314</v>
      </c>
      <c r="F50" s="48" t="s">
        <v>243</v>
      </c>
      <c r="G50" s="242">
        <f>IF(ISBLANK(H50),"",TRUNC(68.6*(H50-10.7)^2))</f>
        <v>874</v>
      </c>
      <c r="H50" s="243">
        <v>7.13</v>
      </c>
      <c r="I50" s="244">
        <v>0.13500000000000001</v>
      </c>
      <c r="J50" s="243"/>
      <c r="K50" s="244"/>
      <c r="L50" s="245" t="str">
        <f t="shared" ref="L50:L55" si="3">IF(ISBLANK(H50),"",IF(H50&gt;8.1,"",IF(H50&lt;=6.7,"TSM",IF(H50&lt;=6.84,"SM",IF(H50&lt;=7,"KSM",IF(H50&lt;=7.3,"I A",IF(H50&lt;=7.65,"II A",IF(H50&lt;=8.1,"III A"))))))))</f>
        <v>I A</v>
      </c>
      <c r="M50" s="52" t="s">
        <v>315</v>
      </c>
      <c r="N50" s="247" t="s">
        <v>316</v>
      </c>
      <c r="O50" s="254">
        <v>4</v>
      </c>
      <c r="P50" s="157">
        <v>3</v>
      </c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</row>
    <row r="51" spans="1:145" s="54" customFormat="1" ht="16.350000000000001" customHeight="1">
      <c r="A51" s="158">
        <v>2</v>
      </c>
      <c r="B51" s="159">
        <v>312</v>
      </c>
      <c r="C51" s="160" t="s">
        <v>261</v>
      </c>
      <c r="D51" s="161" t="s">
        <v>262</v>
      </c>
      <c r="E51" s="47" t="s">
        <v>263</v>
      </c>
      <c r="F51" s="48" t="s">
        <v>243</v>
      </c>
      <c r="G51" s="242">
        <f>IF(ISBLANK(H51),"",TRUNC(68.6*(H51-10.7)^2))</f>
        <v>845</v>
      </c>
      <c r="H51" s="243">
        <v>7.19</v>
      </c>
      <c r="I51" s="244">
        <v>0.16600000000000001</v>
      </c>
      <c r="J51" s="243"/>
      <c r="K51" s="244"/>
      <c r="L51" s="245" t="str">
        <f t="shared" si="3"/>
        <v>I A</v>
      </c>
      <c r="M51" s="52" t="s">
        <v>264</v>
      </c>
      <c r="N51" s="247" t="s">
        <v>332</v>
      </c>
      <c r="O51" s="254">
        <v>4</v>
      </c>
      <c r="P51" s="157">
        <v>5</v>
      </c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</row>
    <row r="52" spans="1:145" s="54" customFormat="1" ht="16.350000000000001" customHeight="1">
      <c r="A52" s="158">
        <v>3</v>
      </c>
      <c r="B52" s="159">
        <v>351</v>
      </c>
      <c r="C52" s="160" t="s">
        <v>341</v>
      </c>
      <c r="D52" s="161" t="s">
        <v>342</v>
      </c>
      <c r="E52" s="47" t="s">
        <v>343</v>
      </c>
      <c r="F52" s="48" t="s">
        <v>54</v>
      </c>
      <c r="G52" s="242">
        <f>IF(ISBLANK(H52),"",TRUNC(68.6*(H52-10.7)^2))</f>
        <v>765</v>
      </c>
      <c r="H52" s="243">
        <v>7.36</v>
      </c>
      <c r="I52" s="244">
        <v>0.113</v>
      </c>
      <c r="J52" s="243"/>
      <c r="K52" s="244"/>
      <c r="L52" s="245" t="str">
        <f t="shared" si="3"/>
        <v>II A</v>
      </c>
      <c r="M52" s="52" t="s">
        <v>344</v>
      </c>
      <c r="N52" s="247" t="s">
        <v>108</v>
      </c>
      <c r="O52" s="254">
        <v>4</v>
      </c>
      <c r="P52" s="157">
        <v>1</v>
      </c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</row>
    <row r="53" spans="1:145" s="54" customFormat="1" ht="16.350000000000001" customHeight="1">
      <c r="A53" s="158" t="s">
        <v>23</v>
      </c>
      <c r="B53" s="159">
        <v>328</v>
      </c>
      <c r="C53" s="160" t="s">
        <v>223</v>
      </c>
      <c r="D53" s="161" t="s">
        <v>222</v>
      </c>
      <c r="E53" s="47" t="s">
        <v>221</v>
      </c>
      <c r="F53" s="48" t="s">
        <v>22</v>
      </c>
      <c r="G53" s="242" t="s">
        <v>23</v>
      </c>
      <c r="H53" s="243">
        <v>7.33</v>
      </c>
      <c r="I53" s="244">
        <v>0.16900000000000001</v>
      </c>
      <c r="J53" s="243"/>
      <c r="K53" s="244"/>
      <c r="L53" s="245" t="str">
        <f t="shared" si="3"/>
        <v>II A</v>
      </c>
      <c r="M53" s="52" t="s">
        <v>160</v>
      </c>
      <c r="N53" s="247" t="s">
        <v>374</v>
      </c>
      <c r="O53" s="254">
        <v>4</v>
      </c>
      <c r="P53" s="157">
        <v>4</v>
      </c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</row>
    <row r="54" spans="1:145" s="54" customFormat="1" ht="16.350000000000001" customHeight="1">
      <c r="A54" s="158" t="s">
        <v>23</v>
      </c>
      <c r="B54" s="159">
        <v>330</v>
      </c>
      <c r="C54" s="160" t="s">
        <v>375</v>
      </c>
      <c r="D54" s="161" t="s">
        <v>376</v>
      </c>
      <c r="E54" s="47" t="s">
        <v>377</v>
      </c>
      <c r="F54" s="48" t="s">
        <v>22</v>
      </c>
      <c r="G54" s="242" t="s">
        <v>23</v>
      </c>
      <c r="H54" s="243">
        <v>7.37</v>
      </c>
      <c r="I54" s="244">
        <v>0.158</v>
      </c>
      <c r="J54" s="243"/>
      <c r="K54" s="244"/>
      <c r="L54" s="245" t="str">
        <f t="shared" si="3"/>
        <v>II A</v>
      </c>
      <c r="M54" s="52" t="s">
        <v>373</v>
      </c>
      <c r="N54" s="247" t="s">
        <v>378</v>
      </c>
      <c r="O54" s="254">
        <v>4</v>
      </c>
      <c r="P54" s="157">
        <v>2</v>
      </c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</row>
    <row r="55" spans="1:145" s="54" customFormat="1" ht="16.350000000000001" customHeight="1">
      <c r="A55" s="158" t="s">
        <v>23</v>
      </c>
      <c r="B55" s="159">
        <v>272</v>
      </c>
      <c r="C55" s="160" t="s">
        <v>394</v>
      </c>
      <c r="D55" s="161" t="s">
        <v>395</v>
      </c>
      <c r="E55" s="47" t="s">
        <v>396</v>
      </c>
      <c r="F55" s="48" t="s">
        <v>22</v>
      </c>
      <c r="G55" s="242" t="s">
        <v>23</v>
      </c>
      <c r="H55" s="243">
        <v>7.83</v>
      </c>
      <c r="I55" s="244">
        <v>0.20499999999999999</v>
      </c>
      <c r="J55" s="243"/>
      <c r="K55" s="244"/>
      <c r="L55" s="245" t="str">
        <f t="shared" si="3"/>
        <v>III A</v>
      </c>
      <c r="M55" s="52" t="s">
        <v>389</v>
      </c>
      <c r="N55" s="247" t="s">
        <v>397</v>
      </c>
      <c r="O55" s="254">
        <v>4</v>
      </c>
      <c r="P55" s="157">
        <v>6</v>
      </c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</row>
    <row r="56" spans="1:145" s="9" customFormat="1" ht="4.5" customHeight="1">
      <c r="C56" s="10"/>
      <c r="E56" s="146"/>
      <c r="F56" s="12"/>
      <c r="G56" s="13"/>
      <c r="H56" s="147"/>
      <c r="I56" s="148"/>
      <c r="J56" s="147"/>
      <c r="K56" s="148"/>
      <c r="L56" s="16"/>
      <c r="M56" s="17"/>
      <c r="P56" s="145"/>
    </row>
    <row r="57" spans="1:145" s="9" customFormat="1" ht="10.5" customHeight="1">
      <c r="C57" s="18"/>
      <c r="D57" s="27">
        <v>5</v>
      </c>
      <c r="E57" s="151" t="s">
        <v>444</v>
      </c>
      <c r="F57" s="29"/>
      <c r="G57" s="13"/>
      <c r="H57" s="147"/>
      <c r="I57" s="148"/>
      <c r="J57" s="147"/>
      <c r="K57" s="148"/>
      <c r="L57" s="16"/>
      <c r="M57" s="17"/>
      <c r="P57" s="145"/>
    </row>
    <row r="58" spans="1:145" s="9" customFormat="1" ht="3.75" customHeight="1">
      <c r="E58" s="152"/>
      <c r="F58" s="31"/>
      <c r="G58" s="13"/>
      <c r="H58" s="153"/>
      <c r="I58" s="148"/>
      <c r="J58" s="153"/>
      <c r="K58" s="148"/>
      <c r="L58" s="16"/>
      <c r="M58" s="17"/>
      <c r="P58" s="145"/>
    </row>
    <row r="59" spans="1:145" ht="11.25" customHeight="1">
      <c r="A59" s="33" t="s">
        <v>29</v>
      </c>
      <c r="B59" s="33" t="s">
        <v>4</v>
      </c>
      <c r="C59" s="35" t="s">
        <v>5</v>
      </c>
      <c r="D59" s="36" t="s">
        <v>6</v>
      </c>
      <c r="E59" s="154" t="s">
        <v>7</v>
      </c>
      <c r="F59" s="38" t="s">
        <v>8</v>
      </c>
      <c r="G59" s="39" t="s">
        <v>9</v>
      </c>
      <c r="H59" s="155" t="s">
        <v>100</v>
      </c>
      <c r="I59" s="156" t="s">
        <v>101</v>
      </c>
      <c r="J59" s="155" t="s">
        <v>102</v>
      </c>
      <c r="K59" s="156" t="s">
        <v>101</v>
      </c>
      <c r="L59" s="42" t="s">
        <v>12</v>
      </c>
      <c r="M59" s="33" t="s">
        <v>13</v>
      </c>
      <c r="N59" s="18" t="s">
        <v>103</v>
      </c>
      <c r="O59" s="18" t="s">
        <v>104</v>
      </c>
      <c r="P59" s="157" t="s">
        <v>99</v>
      </c>
    </row>
    <row r="60" spans="1:145" s="54" customFormat="1" ht="16.350000000000001" customHeight="1">
      <c r="A60" s="158">
        <v>1</v>
      </c>
      <c r="B60" s="159">
        <v>391</v>
      </c>
      <c r="C60" s="160" t="s">
        <v>317</v>
      </c>
      <c r="D60" s="161" t="s">
        <v>318</v>
      </c>
      <c r="E60" s="47" t="s">
        <v>319</v>
      </c>
      <c r="F60" s="48" t="s">
        <v>17</v>
      </c>
      <c r="G60" s="242">
        <f>IF(ISBLANK(H60),"",TRUNC(68.6*(H60-10.7)^2))</f>
        <v>884</v>
      </c>
      <c r="H60" s="243">
        <v>7.11</v>
      </c>
      <c r="I60" s="244">
        <v>0.16800000000000001</v>
      </c>
      <c r="J60" s="243"/>
      <c r="K60" s="244"/>
      <c r="L60" s="245" t="str">
        <f>IF(ISBLANK(H60),"",IF(H60&gt;8.1,"",IF(H60&lt;=6.7,"TSM",IF(H60&lt;=6.84,"SM",IF(H60&lt;=7,"KSM",IF(H60&lt;=7.3,"I A",IF(H60&lt;=7.65,"II A",IF(H60&lt;=8.1,"III A"))))))))</f>
        <v>I A</v>
      </c>
      <c r="M60" s="52" t="s">
        <v>320</v>
      </c>
      <c r="N60" s="247" t="s">
        <v>321</v>
      </c>
      <c r="O60" s="254">
        <v>5</v>
      </c>
      <c r="P60" s="157">
        <v>3</v>
      </c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</row>
    <row r="61" spans="1:145" s="54" customFormat="1" ht="16.350000000000001" customHeight="1">
      <c r="A61" s="158">
        <v>2</v>
      </c>
      <c r="B61" s="159">
        <v>361</v>
      </c>
      <c r="C61" s="160" t="s">
        <v>326</v>
      </c>
      <c r="D61" s="161" t="s">
        <v>327</v>
      </c>
      <c r="E61" s="47" t="s">
        <v>328</v>
      </c>
      <c r="F61" s="48" t="s">
        <v>54</v>
      </c>
      <c r="G61" s="242">
        <f>IF(ISBLANK(H61),"",TRUNC(68.6*(H61-10.7)^2))</f>
        <v>821</v>
      </c>
      <c r="H61" s="243">
        <v>7.24</v>
      </c>
      <c r="I61" s="244">
        <v>0.16500000000000001</v>
      </c>
      <c r="J61" s="243"/>
      <c r="K61" s="244"/>
      <c r="L61" s="245" t="str">
        <f>IF(ISBLANK(H61),"",IF(H61&gt;8.1,"",IF(H61&lt;=6.7,"TSM",IF(H61&lt;=6.84,"SM",IF(H61&lt;=7,"KSM",IF(H61&lt;=7.3,"I A",IF(H61&lt;=7.65,"II A",IF(H61&lt;=8.1,"III A"))))))))</f>
        <v>I A</v>
      </c>
      <c r="M61" s="52" t="s">
        <v>329</v>
      </c>
      <c r="N61" s="247" t="s">
        <v>330</v>
      </c>
      <c r="O61" s="254">
        <v>5</v>
      </c>
      <c r="P61" s="157">
        <v>4</v>
      </c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</row>
    <row r="62" spans="1:145" s="54" customFormat="1" ht="16.350000000000001" customHeight="1">
      <c r="A62" s="158">
        <v>3</v>
      </c>
      <c r="B62" s="159">
        <v>343</v>
      </c>
      <c r="C62" s="160" t="s">
        <v>345</v>
      </c>
      <c r="D62" s="161" t="s">
        <v>346</v>
      </c>
      <c r="E62" s="47" t="s">
        <v>347</v>
      </c>
      <c r="F62" s="48" t="s">
        <v>54</v>
      </c>
      <c r="G62" s="242">
        <f>IF(ISBLANK(H62),"",TRUNC(68.6*(H62-10.7)^2))</f>
        <v>702</v>
      </c>
      <c r="H62" s="243">
        <v>7.5</v>
      </c>
      <c r="I62" s="244">
        <v>0.13</v>
      </c>
      <c r="J62" s="243"/>
      <c r="K62" s="244"/>
      <c r="L62" s="245" t="str">
        <f>IF(ISBLANK(H62),"",IF(H62&gt;8.1,"",IF(H62&lt;=6.7,"TSM",IF(H62&lt;=6.84,"SM",IF(H62&lt;=7,"KSM",IF(H62&lt;=7.3,"I A",IF(H62&lt;=7.65,"II A",IF(H62&lt;=8.1,"III A"))))))))</f>
        <v>II A</v>
      </c>
      <c r="M62" s="52" t="s">
        <v>132</v>
      </c>
      <c r="N62" s="247" t="s">
        <v>348</v>
      </c>
      <c r="O62" s="254">
        <v>5</v>
      </c>
      <c r="P62" s="157">
        <v>2</v>
      </c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</row>
    <row r="63" spans="1:145" s="54" customFormat="1" ht="16.350000000000001" customHeight="1">
      <c r="A63" s="158" t="s">
        <v>23</v>
      </c>
      <c r="B63" s="159">
        <v>326</v>
      </c>
      <c r="C63" s="160" t="s">
        <v>276</v>
      </c>
      <c r="D63" s="161" t="s">
        <v>277</v>
      </c>
      <c r="E63" s="47" t="s">
        <v>278</v>
      </c>
      <c r="F63" s="48" t="s">
        <v>22</v>
      </c>
      <c r="G63" s="242" t="s">
        <v>23</v>
      </c>
      <c r="H63" s="243">
        <v>7.4</v>
      </c>
      <c r="I63" s="244">
        <v>0.17199999999999999</v>
      </c>
      <c r="J63" s="243"/>
      <c r="K63" s="244"/>
      <c r="L63" s="245" t="str">
        <f>IF(ISBLANK(H63),"",IF(H63&gt;8.1,"",IF(H63&lt;=6.7,"TSM",IF(H63&lt;=6.84,"SM",IF(H63&lt;=7,"KSM",IF(H63&lt;=7.3,"I A",IF(H63&lt;=7.65,"II A",IF(H63&lt;=8.1,"III A"))))))))</f>
        <v>II A</v>
      </c>
      <c r="M63" s="52" t="s">
        <v>160</v>
      </c>
      <c r="N63" s="247" t="s">
        <v>108</v>
      </c>
      <c r="O63" s="254">
        <v>5</v>
      </c>
      <c r="P63" s="157">
        <v>1</v>
      </c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</row>
    <row r="64" spans="1:145" s="54" customFormat="1" ht="16.350000000000001" customHeight="1">
      <c r="A64" s="158"/>
      <c r="B64" s="159">
        <v>310</v>
      </c>
      <c r="C64" s="160" t="s">
        <v>358</v>
      </c>
      <c r="D64" s="161" t="s">
        <v>410</v>
      </c>
      <c r="E64" s="47" t="s">
        <v>411</v>
      </c>
      <c r="F64" s="48" t="s">
        <v>243</v>
      </c>
      <c r="G64" s="242"/>
      <c r="H64" s="243" t="s">
        <v>30</v>
      </c>
      <c r="I64" s="244"/>
      <c r="J64" s="243"/>
      <c r="K64" s="244"/>
      <c r="L64" s="245" t="str">
        <f t="shared" ref="L64" si="4">IF(ISBLANK(H64),"",IF(H64&gt;8.1,"",IF(H64&lt;=6.7,"TSM",IF(H64&lt;=6.84,"SM",IF(H64&lt;=7,"KSM",IF(H64&lt;=7.3,"I A",IF(H64&lt;=7.65,"II A",IF(H64&lt;=8.1,"III A"))))))))</f>
        <v/>
      </c>
      <c r="M64" s="52" t="s">
        <v>315</v>
      </c>
      <c r="N64" s="247" t="s">
        <v>412</v>
      </c>
      <c r="O64" s="254">
        <v>5</v>
      </c>
      <c r="P64" s="157">
        <v>5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</row>
  </sheetData>
  <sortState ref="A60:EO62">
    <sortCondition ref="H60:H62"/>
  </sortState>
  <printOptions horizontalCentered="1"/>
  <pageMargins left="0.39370078740157483" right="0.39370078740157483" top="0.39370078740157483" bottom="0.19685039370078741" header="0.51181102362204722" footer="0.51181102362204722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EP39"/>
  <sheetViews>
    <sheetView zoomScale="120" zoomScaleNormal="120" workbookViewId="0">
      <selection activeCell="A2" sqref="A2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6.28515625" style="18" customWidth="1"/>
    <col min="5" max="5" width="9.5703125" style="168" customWidth="1"/>
    <col min="6" max="6" width="10.85546875" style="56" customWidth="1"/>
    <col min="7" max="7" width="6.42578125" style="22" customWidth="1"/>
    <col min="8" max="8" width="6" style="71" customWidth="1"/>
    <col min="9" max="9" width="4.7109375" style="143" customWidth="1"/>
    <col min="10" max="10" width="7" style="71" customWidth="1"/>
    <col min="11" max="11" width="4.7109375" style="143" customWidth="1"/>
    <col min="12" max="12" width="5.140625" style="24" customWidth="1"/>
    <col min="13" max="13" width="22.5703125" style="18" customWidth="1"/>
    <col min="14" max="14" width="3.42578125" style="18" hidden="1" customWidth="1"/>
    <col min="15" max="15" width="3.5703125" style="149" hidden="1" customWidth="1"/>
    <col min="16" max="16" width="3.5703125" style="145" hidden="1" customWidth="1"/>
    <col min="17" max="17" width="1.5703125" style="145" hidden="1" customWidth="1"/>
    <col min="18" max="18" width="2.28515625" style="149" hidden="1" customWidth="1"/>
    <col min="19" max="143" width="9.140625" style="18"/>
    <col min="144" max="16384" width="9.140625" style="7"/>
  </cols>
  <sheetData>
    <row r="1" spans="1:146" s="2" customFormat="1" ht="18.75">
      <c r="A1" s="1" t="s">
        <v>0</v>
      </c>
      <c r="E1" s="142"/>
      <c r="F1" s="4"/>
      <c r="G1" s="5"/>
      <c r="H1" s="71"/>
      <c r="I1" s="143"/>
      <c r="J1" s="71"/>
      <c r="K1" s="143"/>
      <c r="L1" s="3"/>
      <c r="O1" s="144"/>
      <c r="P1" s="145"/>
      <c r="Q1" s="145"/>
      <c r="R1" s="144"/>
      <c r="EN1" s="7"/>
    </row>
    <row r="2" spans="1:146" s="2" customFormat="1" ht="13.15" customHeight="1">
      <c r="E2" s="142"/>
      <c r="F2" s="4"/>
      <c r="G2" s="5"/>
      <c r="H2" s="71"/>
      <c r="I2" s="143"/>
      <c r="J2" s="71"/>
      <c r="K2" s="143"/>
      <c r="L2" s="3"/>
      <c r="M2" s="8" t="s">
        <v>1</v>
      </c>
      <c r="O2" s="144"/>
      <c r="P2" s="145"/>
      <c r="Q2" s="145"/>
      <c r="R2" s="144"/>
      <c r="EN2" s="7"/>
    </row>
    <row r="3" spans="1:146" s="9" customFormat="1" ht="4.5" customHeight="1">
      <c r="C3" s="10"/>
      <c r="E3" s="146"/>
      <c r="F3" s="12"/>
      <c r="G3" s="13"/>
      <c r="H3" s="147"/>
      <c r="I3" s="148"/>
      <c r="J3" s="147"/>
      <c r="K3" s="148"/>
      <c r="L3" s="16"/>
      <c r="M3" s="17"/>
      <c r="O3" s="149"/>
      <c r="P3" s="145"/>
      <c r="Q3" s="145"/>
      <c r="R3" s="149"/>
    </row>
    <row r="4" spans="1:146" ht="15.75">
      <c r="C4" s="19" t="s">
        <v>305</v>
      </c>
      <c r="E4" s="150"/>
      <c r="F4" s="21"/>
      <c r="M4" s="25" t="s">
        <v>3</v>
      </c>
    </row>
    <row r="5" spans="1:146" s="9" customFormat="1" ht="4.5" customHeight="1">
      <c r="C5" s="10"/>
      <c r="E5" s="146"/>
      <c r="F5" s="12"/>
      <c r="G5" s="22"/>
      <c r="H5" s="71"/>
      <c r="I5" s="143"/>
      <c r="J5" s="71"/>
      <c r="K5" s="143"/>
      <c r="L5" s="24"/>
      <c r="M5" s="17"/>
      <c r="O5" s="149"/>
      <c r="P5" s="145"/>
      <c r="Q5" s="145"/>
      <c r="R5" s="149"/>
    </row>
    <row r="6" spans="1:146" s="9" customFormat="1" ht="10.5" customHeight="1">
      <c r="C6" s="18"/>
      <c r="D6" s="27"/>
      <c r="E6" s="151" t="s">
        <v>445</v>
      </c>
      <c r="F6" s="29"/>
      <c r="G6" s="22"/>
      <c r="H6" s="71"/>
      <c r="I6" s="143"/>
      <c r="J6" s="71"/>
      <c r="K6" s="143"/>
      <c r="L6" s="24"/>
      <c r="M6" s="17"/>
      <c r="O6" s="149"/>
      <c r="P6" s="145"/>
      <c r="Q6" s="145"/>
      <c r="R6" s="149"/>
    </row>
    <row r="7" spans="1:146" s="9" customFormat="1" ht="3.75" customHeight="1">
      <c r="E7" s="152"/>
      <c r="F7" s="31"/>
      <c r="G7" s="13"/>
      <c r="H7" s="153"/>
      <c r="I7" s="148"/>
      <c r="J7" s="153"/>
      <c r="K7" s="148"/>
      <c r="L7" s="16"/>
      <c r="M7" s="17"/>
      <c r="O7" s="149"/>
      <c r="P7" s="145"/>
      <c r="Q7" s="145"/>
      <c r="R7" s="149"/>
    </row>
    <row r="8" spans="1:146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100</v>
      </c>
      <c r="I8" s="156" t="s">
        <v>101</v>
      </c>
      <c r="J8" s="155" t="s">
        <v>102</v>
      </c>
      <c r="K8" s="156" t="s">
        <v>101</v>
      </c>
      <c r="L8" s="42" t="s">
        <v>12</v>
      </c>
      <c r="M8" s="33" t="s">
        <v>13</v>
      </c>
      <c r="N8" s="18" t="s">
        <v>103</v>
      </c>
      <c r="O8" s="149" t="s">
        <v>104</v>
      </c>
      <c r="P8" s="157" t="s">
        <v>99</v>
      </c>
      <c r="Q8" s="157" t="s">
        <v>306</v>
      </c>
    </row>
    <row r="9" spans="1:146" s="54" customFormat="1" ht="16.350000000000001" customHeight="1">
      <c r="A9" s="158">
        <v>1</v>
      </c>
      <c r="B9" s="159">
        <v>385</v>
      </c>
      <c r="C9" s="160" t="s">
        <v>307</v>
      </c>
      <c r="D9" s="161" t="s">
        <v>308</v>
      </c>
      <c r="E9" s="47" t="s">
        <v>309</v>
      </c>
      <c r="F9" s="48" t="s">
        <v>17</v>
      </c>
      <c r="G9" s="242">
        <f>IF(ISBLANK(J9),"",TRUNC(68.6*(J9-10.7)^2))</f>
        <v>1027</v>
      </c>
      <c r="H9" s="246">
        <v>6.98</v>
      </c>
      <c r="I9" s="244">
        <v>0.14499999999999999</v>
      </c>
      <c r="J9" s="243">
        <v>6.83</v>
      </c>
      <c r="K9" s="244">
        <v>0.15</v>
      </c>
      <c r="L9" s="245" t="str">
        <f>IF(ISBLANK(J9),"",IF(J9&gt;8.1,"",IF(J9&lt;=6.7,"TSM",IF(J9&lt;=6.84,"SM",IF(J9&lt;=7,"KSM",IF(J9&lt;=7.3,"I A",IF(J9&lt;=7.65,"II A",IF(J9&lt;=8.1,"III A"))))))))</f>
        <v>SM</v>
      </c>
      <c r="M9" s="52" t="s">
        <v>310</v>
      </c>
      <c r="N9" s="247" t="s">
        <v>311</v>
      </c>
      <c r="O9" s="166">
        <v>2</v>
      </c>
      <c r="P9" s="157">
        <v>3</v>
      </c>
      <c r="Q9" s="157">
        <v>3</v>
      </c>
      <c r="R9" s="166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</row>
    <row r="10" spans="1:146" s="54" customFormat="1" ht="16.350000000000001" customHeight="1">
      <c r="A10" s="158">
        <v>2</v>
      </c>
      <c r="B10" s="159">
        <v>311</v>
      </c>
      <c r="C10" s="160" t="s">
        <v>312</v>
      </c>
      <c r="D10" s="161" t="s">
        <v>313</v>
      </c>
      <c r="E10" s="47" t="s">
        <v>314</v>
      </c>
      <c r="F10" s="48" t="s">
        <v>243</v>
      </c>
      <c r="G10" s="242">
        <f>IF(ISBLANK(J10),"",TRUNC(68.6*(J10-10.7)^2))</f>
        <v>918</v>
      </c>
      <c r="H10" s="246">
        <v>7.13</v>
      </c>
      <c r="I10" s="244">
        <v>0.13500000000000001</v>
      </c>
      <c r="J10" s="243">
        <v>7.04</v>
      </c>
      <c r="K10" s="244">
        <v>0.128</v>
      </c>
      <c r="L10" s="245" t="str">
        <f>IF(ISBLANK(J10),"",IF(J10&gt;8.1,"",IF(J10&lt;=6.7,"TSM",IF(J10&lt;=6.84,"SM",IF(J10&lt;=7,"KSM",IF(J10&lt;=7.3,"I A",IF(J10&lt;=7.65,"II A",IF(J10&lt;=8.1,"III A"))))))))</f>
        <v>I A</v>
      </c>
      <c r="M10" s="52" t="s">
        <v>315</v>
      </c>
      <c r="N10" s="247" t="s">
        <v>316</v>
      </c>
      <c r="O10" s="166">
        <v>4</v>
      </c>
      <c r="P10" s="157">
        <v>3</v>
      </c>
      <c r="Q10" s="157">
        <v>2</v>
      </c>
      <c r="R10" s="166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</row>
    <row r="11" spans="1:146" s="54" customFormat="1" ht="16.350000000000001" customHeight="1">
      <c r="A11" s="158">
        <v>3</v>
      </c>
      <c r="B11" s="159">
        <v>391</v>
      </c>
      <c r="C11" s="160" t="s">
        <v>317</v>
      </c>
      <c r="D11" s="161" t="s">
        <v>318</v>
      </c>
      <c r="E11" s="47" t="s">
        <v>319</v>
      </c>
      <c r="F11" s="48" t="s">
        <v>17</v>
      </c>
      <c r="G11" s="242">
        <f>IF(ISBLANK(J11),"",TRUNC(68.6*(J11-10.7)^2))</f>
        <v>908</v>
      </c>
      <c r="H11" s="246">
        <v>7.11</v>
      </c>
      <c r="I11" s="244">
        <v>0.16800000000000001</v>
      </c>
      <c r="J11" s="243">
        <v>7.06</v>
      </c>
      <c r="K11" s="244">
        <v>0.16300000000000001</v>
      </c>
      <c r="L11" s="245" t="str">
        <f>IF(ISBLANK(J11),"",IF(J11&gt;8.1,"",IF(J11&lt;=6.7,"TSM",IF(J11&lt;=6.84,"SM",IF(J11&lt;=7,"KSM",IF(J11&lt;=7.3,"I A",IF(J11&lt;=7.65,"II A",IF(J11&lt;=8.1,"III A"))))))))</f>
        <v>I A</v>
      </c>
      <c r="M11" s="52" t="s">
        <v>320</v>
      </c>
      <c r="N11" s="247" t="s">
        <v>321</v>
      </c>
      <c r="O11" s="166">
        <v>5</v>
      </c>
      <c r="P11" s="157">
        <v>3</v>
      </c>
      <c r="Q11" s="157">
        <v>4</v>
      </c>
      <c r="R11" s="166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</row>
    <row r="12" spans="1:146" s="54" customFormat="1" ht="16.350000000000001" customHeight="1">
      <c r="A12" s="158">
        <v>4</v>
      </c>
      <c r="B12" s="159">
        <v>388</v>
      </c>
      <c r="C12" s="160" t="s">
        <v>322</v>
      </c>
      <c r="D12" s="161" t="s">
        <v>323</v>
      </c>
      <c r="E12" s="47" t="s">
        <v>324</v>
      </c>
      <c r="F12" s="48" t="s">
        <v>17</v>
      </c>
      <c r="G12" s="242">
        <f>IF(ISBLANK(J12),"",TRUNC(68.6*(J12-10.7)^2))</f>
        <v>869</v>
      </c>
      <c r="H12" s="246">
        <v>7.16</v>
      </c>
      <c r="I12" s="244">
        <v>0.16800000000000001</v>
      </c>
      <c r="J12" s="243">
        <v>7.14</v>
      </c>
      <c r="K12" s="244">
        <v>0.154</v>
      </c>
      <c r="L12" s="245" t="str">
        <f>IF(ISBLANK(J12),"",IF(J12&gt;8.1,"",IF(J12&lt;=6.7,"TSM",IF(J12&lt;=6.84,"SM",IF(J12&lt;=7,"KSM",IF(J12&lt;=7.3,"I A",IF(J12&lt;=7.65,"II A",IF(J12&lt;=8.1,"III A"))))))))</f>
        <v>I A</v>
      </c>
      <c r="M12" s="52" t="s">
        <v>127</v>
      </c>
      <c r="N12" s="247" t="s">
        <v>325</v>
      </c>
      <c r="O12" s="166">
        <v>3</v>
      </c>
      <c r="P12" s="157">
        <v>5</v>
      </c>
      <c r="Q12" s="157">
        <v>5</v>
      </c>
      <c r="R12" s="166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</row>
    <row r="13" spans="1:146" s="54" customFormat="1" ht="16.350000000000001" customHeight="1">
      <c r="A13" s="158">
        <v>5</v>
      </c>
      <c r="B13" s="159">
        <v>361</v>
      </c>
      <c r="C13" s="160" t="s">
        <v>326</v>
      </c>
      <c r="D13" s="161" t="s">
        <v>327</v>
      </c>
      <c r="E13" s="47" t="s">
        <v>328</v>
      </c>
      <c r="F13" s="48" t="s">
        <v>54</v>
      </c>
      <c r="G13" s="242">
        <f>IF(ISBLANK(J13),"",TRUNC(68.6*(J13-10.7)^2))</f>
        <v>830</v>
      </c>
      <c r="H13" s="246">
        <v>7.24</v>
      </c>
      <c r="I13" s="244">
        <v>0.16500000000000001</v>
      </c>
      <c r="J13" s="243">
        <v>7.22</v>
      </c>
      <c r="K13" s="244">
        <v>0.16800000000000001</v>
      </c>
      <c r="L13" s="245" t="str">
        <f>IF(ISBLANK(J13),"",IF(J13&gt;8.1,"",IF(J13&lt;=6.7,"TSM",IF(J13&lt;=6.84,"SM",IF(J13&lt;=7,"KSM",IF(J13&lt;=7.3,"I A",IF(J13&lt;=7.65,"II A",IF(J13&lt;=8.1,"III A"))))))))</f>
        <v>I A</v>
      </c>
      <c r="M13" s="52" t="s">
        <v>329</v>
      </c>
      <c r="N13" s="247" t="s">
        <v>330</v>
      </c>
      <c r="O13" s="166">
        <v>5</v>
      </c>
      <c r="P13" s="157">
        <v>4</v>
      </c>
      <c r="Q13" s="157">
        <v>6</v>
      </c>
      <c r="R13" s="166" t="s">
        <v>331</v>
      </c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</row>
    <row r="14" spans="1:146" s="54" customFormat="1" ht="16.350000000000001" customHeight="1">
      <c r="A14" s="158">
        <v>5</v>
      </c>
      <c r="B14" s="159">
        <v>312</v>
      </c>
      <c r="C14" s="160" t="s">
        <v>261</v>
      </c>
      <c r="D14" s="161" t="s">
        <v>262</v>
      </c>
      <c r="E14" s="47" t="s">
        <v>263</v>
      </c>
      <c r="F14" s="48" t="s">
        <v>243</v>
      </c>
      <c r="G14" s="242">
        <f>IF(ISBLANK(H14),"",TRUNC(68.6*(H14-10.7)^2))</f>
        <v>845</v>
      </c>
      <c r="H14" s="243">
        <v>7.19</v>
      </c>
      <c r="I14" s="244">
        <v>0.16600000000000001</v>
      </c>
      <c r="J14" s="246">
        <v>7.22</v>
      </c>
      <c r="K14" s="244">
        <v>0.16900000000000001</v>
      </c>
      <c r="L14" s="245" t="str">
        <f>IF(ISBLANK(H14),"",IF(H14&gt;8.1,"",IF(H14&lt;=6.7,"TSM",IF(H14&lt;=6.84,"SM",IF(H14&lt;=7,"KSM",IF(H14&lt;=7.3,"I A",IF(H14&lt;=7.65,"II A",IF(H14&lt;=8.1,"III A"))))))))</f>
        <v>I A</v>
      </c>
      <c r="M14" s="52" t="s">
        <v>264</v>
      </c>
      <c r="N14" s="247" t="s">
        <v>332</v>
      </c>
      <c r="O14" s="166">
        <v>4</v>
      </c>
      <c r="P14" s="157">
        <v>5</v>
      </c>
      <c r="Q14" s="157">
        <v>1</v>
      </c>
      <c r="R14" s="166" t="s">
        <v>331</v>
      </c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</row>
    <row r="15" spans="1:146" s="9" customFormat="1" ht="3.75" customHeight="1">
      <c r="E15" s="152"/>
      <c r="F15" s="31"/>
      <c r="G15" s="13"/>
      <c r="H15" s="153"/>
      <c r="I15" s="148"/>
      <c r="J15" s="153"/>
      <c r="K15" s="148"/>
      <c r="L15" s="16"/>
      <c r="M15" s="17"/>
      <c r="O15" s="149"/>
      <c r="P15" s="145"/>
      <c r="Q15" s="145"/>
      <c r="R15" s="149"/>
    </row>
    <row r="16" spans="1:146" ht="11.25" customHeight="1">
      <c r="A16" s="33" t="s">
        <v>29</v>
      </c>
      <c r="B16" s="33" t="s">
        <v>4</v>
      </c>
      <c r="C16" s="35" t="s">
        <v>5</v>
      </c>
      <c r="D16" s="36" t="s">
        <v>6</v>
      </c>
      <c r="E16" s="154" t="s">
        <v>7</v>
      </c>
      <c r="F16" s="38" t="s">
        <v>8</v>
      </c>
      <c r="G16" s="39" t="s">
        <v>9</v>
      </c>
      <c r="H16" s="155" t="s">
        <v>100</v>
      </c>
      <c r="I16" s="156" t="s">
        <v>101</v>
      </c>
      <c r="J16" s="155" t="s">
        <v>102</v>
      </c>
      <c r="K16" s="156" t="s">
        <v>101</v>
      </c>
      <c r="L16" s="42" t="s">
        <v>12</v>
      </c>
      <c r="M16" s="33" t="s">
        <v>13</v>
      </c>
      <c r="N16" s="18" t="s">
        <v>103</v>
      </c>
      <c r="O16" s="149" t="s">
        <v>104</v>
      </c>
      <c r="P16" s="157" t="s">
        <v>99</v>
      </c>
      <c r="Q16" s="157"/>
    </row>
    <row r="17" spans="1:146" s="54" customFormat="1" ht="16.350000000000001" customHeight="1">
      <c r="A17" s="158">
        <v>7</v>
      </c>
      <c r="B17" s="159">
        <v>389</v>
      </c>
      <c r="C17" s="160" t="s">
        <v>333</v>
      </c>
      <c r="D17" s="161" t="s">
        <v>334</v>
      </c>
      <c r="E17" s="47" t="s">
        <v>335</v>
      </c>
      <c r="F17" s="48" t="s">
        <v>17</v>
      </c>
      <c r="G17" s="242">
        <f t="shared" ref="G17:G23" si="0">IF(ISBLANK(H17),"",TRUNC(68.6*(H17-10.7)^2))</f>
        <v>797</v>
      </c>
      <c r="H17" s="243">
        <v>7.29</v>
      </c>
      <c r="I17" s="244">
        <v>0.17799999999999999</v>
      </c>
      <c r="J17" s="243"/>
      <c r="K17" s="244"/>
      <c r="L17" s="245" t="str">
        <f t="shared" ref="L17:L39" si="1">IF(ISBLANK(H17),"",IF(H17&gt;8.1,"",IF(H17&lt;=6.7,"TSM",IF(H17&lt;=6.84,"SM",IF(H17&lt;=7,"KSM",IF(H17&lt;=7.3,"I A",IF(H17&lt;=7.65,"II A",IF(H17&lt;=8.1,"III A"))))))))</f>
        <v>I A</v>
      </c>
      <c r="M17" s="52" t="s">
        <v>127</v>
      </c>
      <c r="N17" s="247" t="s">
        <v>336</v>
      </c>
      <c r="O17" s="166">
        <v>1</v>
      </c>
      <c r="P17" s="157">
        <v>4</v>
      </c>
      <c r="Q17" s="157"/>
      <c r="R17" s="166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</row>
    <row r="18" spans="1:146" s="54" customFormat="1" ht="16.350000000000001" customHeight="1">
      <c r="A18" s="158">
        <v>8</v>
      </c>
      <c r="B18" s="159">
        <v>362</v>
      </c>
      <c r="C18" s="160" t="s">
        <v>337</v>
      </c>
      <c r="D18" s="161" t="s">
        <v>338</v>
      </c>
      <c r="E18" s="47" t="s">
        <v>339</v>
      </c>
      <c r="F18" s="48" t="s">
        <v>54</v>
      </c>
      <c r="G18" s="242">
        <f t="shared" si="0"/>
        <v>788</v>
      </c>
      <c r="H18" s="243">
        <v>7.31</v>
      </c>
      <c r="I18" s="244">
        <v>0.17100000000000001</v>
      </c>
      <c r="J18" s="243"/>
      <c r="K18" s="244"/>
      <c r="L18" s="245" t="str">
        <f t="shared" si="1"/>
        <v>II A</v>
      </c>
      <c r="M18" s="52" t="s">
        <v>340</v>
      </c>
      <c r="N18" s="247" t="s">
        <v>108</v>
      </c>
      <c r="O18" s="166">
        <v>2</v>
      </c>
      <c r="P18" s="157">
        <v>1</v>
      </c>
      <c r="Q18" s="157"/>
      <c r="R18" s="166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</row>
    <row r="19" spans="1:146" s="54" customFormat="1" ht="16.350000000000001" customHeight="1">
      <c r="A19" s="158">
        <v>9</v>
      </c>
      <c r="B19" s="159">
        <v>351</v>
      </c>
      <c r="C19" s="160" t="s">
        <v>341</v>
      </c>
      <c r="D19" s="161" t="s">
        <v>342</v>
      </c>
      <c r="E19" s="47" t="s">
        <v>343</v>
      </c>
      <c r="F19" s="48" t="s">
        <v>54</v>
      </c>
      <c r="G19" s="242">
        <f t="shared" si="0"/>
        <v>765</v>
      </c>
      <c r="H19" s="243">
        <v>7.36</v>
      </c>
      <c r="I19" s="244">
        <v>0.113</v>
      </c>
      <c r="J19" s="243"/>
      <c r="K19" s="244"/>
      <c r="L19" s="245" t="str">
        <f t="shared" si="1"/>
        <v>II A</v>
      </c>
      <c r="M19" s="52" t="s">
        <v>344</v>
      </c>
      <c r="N19" s="247" t="s">
        <v>108</v>
      </c>
      <c r="O19" s="166">
        <v>4</v>
      </c>
      <c r="P19" s="157">
        <v>1</v>
      </c>
      <c r="Q19" s="157"/>
      <c r="R19" s="166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</row>
    <row r="20" spans="1:146" s="54" customFormat="1" ht="16.350000000000001" customHeight="1">
      <c r="A20" s="158">
        <v>10</v>
      </c>
      <c r="B20" s="159">
        <v>343</v>
      </c>
      <c r="C20" s="160" t="s">
        <v>345</v>
      </c>
      <c r="D20" s="161" t="s">
        <v>346</v>
      </c>
      <c r="E20" s="47" t="s">
        <v>347</v>
      </c>
      <c r="F20" s="48" t="s">
        <v>54</v>
      </c>
      <c r="G20" s="242">
        <f t="shared" si="0"/>
        <v>702</v>
      </c>
      <c r="H20" s="243">
        <v>7.5</v>
      </c>
      <c r="I20" s="244">
        <v>0.13</v>
      </c>
      <c r="J20" s="243"/>
      <c r="K20" s="244"/>
      <c r="L20" s="245" t="str">
        <f t="shared" si="1"/>
        <v>II A</v>
      </c>
      <c r="M20" s="52" t="s">
        <v>132</v>
      </c>
      <c r="N20" s="247" t="s">
        <v>348</v>
      </c>
      <c r="O20" s="166">
        <v>5</v>
      </c>
      <c r="P20" s="157">
        <v>2</v>
      </c>
      <c r="Q20" s="157"/>
      <c r="R20" s="166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</row>
    <row r="21" spans="1:146" s="54" customFormat="1" ht="16.350000000000001" customHeight="1">
      <c r="A21" s="158">
        <v>11</v>
      </c>
      <c r="B21" s="159">
        <v>291</v>
      </c>
      <c r="C21" s="160" t="s">
        <v>349</v>
      </c>
      <c r="D21" s="161" t="s">
        <v>350</v>
      </c>
      <c r="E21" s="47" t="s">
        <v>351</v>
      </c>
      <c r="F21" s="48" t="s">
        <v>49</v>
      </c>
      <c r="G21" s="242">
        <f t="shared" si="0"/>
        <v>621</v>
      </c>
      <c r="H21" s="243">
        <v>7.69</v>
      </c>
      <c r="I21" s="244">
        <v>0.19600000000000001</v>
      </c>
      <c r="J21" s="243"/>
      <c r="K21" s="244"/>
      <c r="L21" s="245" t="str">
        <f t="shared" si="1"/>
        <v>III A</v>
      </c>
      <c r="M21" s="52" t="s">
        <v>352</v>
      </c>
      <c r="N21" s="247" t="s">
        <v>353</v>
      </c>
      <c r="O21" s="166">
        <v>1</v>
      </c>
      <c r="P21" s="157">
        <v>6</v>
      </c>
      <c r="Q21" s="157"/>
      <c r="R21" s="166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</row>
    <row r="22" spans="1:146" s="54" customFormat="1" ht="16.350000000000001" customHeight="1">
      <c r="A22" s="158">
        <v>12</v>
      </c>
      <c r="B22" s="159">
        <v>346</v>
      </c>
      <c r="C22" s="160" t="s">
        <v>354</v>
      </c>
      <c r="D22" s="161" t="s">
        <v>355</v>
      </c>
      <c r="E22" s="47" t="s">
        <v>356</v>
      </c>
      <c r="F22" s="48" t="s">
        <v>54</v>
      </c>
      <c r="G22" s="242">
        <f t="shared" si="0"/>
        <v>609</v>
      </c>
      <c r="H22" s="243">
        <v>7.72</v>
      </c>
      <c r="I22" s="244">
        <v>0.15</v>
      </c>
      <c r="J22" s="243"/>
      <c r="K22" s="244"/>
      <c r="L22" s="245" t="str">
        <f t="shared" si="1"/>
        <v>III A</v>
      </c>
      <c r="M22" s="52" t="s">
        <v>344</v>
      </c>
      <c r="N22" s="247" t="s">
        <v>357</v>
      </c>
      <c r="O22" s="166">
        <v>3</v>
      </c>
      <c r="P22" s="157">
        <v>6</v>
      </c>
      <c r="Q22" s="157"/>
      <c r="R22" s="166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</row>
    <row r="23" spans="1:146" s="54" customFormat="1" ht="16.350000000000001" customHeight="1">
      <c r="A23" s="158">
        <v>13</v>
      </c>
      <c r="B23" s="159">
        <v>309</v>
      </c>
      <c r="C23" s="160" t="s">
        <v>358</v>
      </c>
      <c r="D23" s="161" t="s">
        <v>359</v>
      </c>
      <c r="E23" s="47" t="s">
        <v>360</v>
      </c>
      <c r="F23" s="48" t="s">
        <v>243</v>
      </c>
      <c r="G23" s="242">
        <f t="shared" si="0"/>
        <v>492</v>
      </c>
      <c r="H23" s="243">
        <v>8.02</v>
      </c>
      <c r="I23" s="244">
        <v>0.17599999999999999</v>
      </c>
      <c r="J23" s="243"/>
      <c r="K23" s="244"/>
      <c r="L23" s="245" t="str">
        <f t="shared" si="1"/>
        <v>III A</v>
      </c>
      <c r="M23" s="52" t="s">
        <v>264</v>
      </c>
      <c r="N23" s="247" t="s">
        <v>108</v>
      </c>
      <c r="O23" s="166">
        <v>1</v>
      </c>
      <c r="P23" s="157">
        <v>1</v>
      </c>
      <c r="Q23" s="157"/>
      <c r="R23" s="166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</row>
    <row r="24" spans="1:146" s="54" customFormat="1" ht="16.350000000000001" customHeight="1">
      <c r="A24" s="158" t="s">
        <v>23</v>
      </c>
      <c r="B24" s="159">
        <v>341</v>
      </c>
      <c r="C24" s="160" t="s">
        <v>361</v>
      </c>
      <c r="D24" s="161" t="s">
        <v>362</v>
      </c>
      <c r="E24" s="47" t="s">
        <v>363</v>
      </c>
      <c r="F24" s="48" t="s">
        <v>138</v>
      </c>
      <c r="G24" s="242" t="s">
        <v>23</v>
      </c>
      <c r="H24" s="243">
        <v>7</v>
      </c>
      <c r="I24" s="244">
        <v>0.159</v>
      </c>
      <c r="J24" s="243"/>
      <c r="K24" s="244"/>
      <c r="L24" s="245" t="str">
        <f t="shared" si="1"/>
        <v>KSM</v>
      </c>
      <c r="M24" s="52" t="s">
        <v>364</v>
      </c>
      <c r="N24" s="247" t="s">
        <v>365</v>
      </c>
      <c r="O24" s="166">
        <v>1</v>
      </c>
      <c r="P24" s="157">
        <v>3</v>
      </c>
      <c r="Q24" s="157"/>
      <c r="R24" s="166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</row>
    <row r="25" spans="1:146" s="54" customFormat="1" ht="16.350000000000001" customHeight="1">
      <c r="A25" s="158" t="s">
        <v>23</v>
      </c>
      <c r="B25" s="159">
        <v>256</v>
      </c>
      <c r="C25" s="160" t="s">
        <v>366</v>
      </c>
      <c r="D25" s="161" t="s">
        <v>367</v>
      </c>
      <c r="E25" s="47" t="s">
        <v>368</v>
      </c>
      <c r="F25" s="48" t="s">
        <v>22</v>
      </c>
      <c r="G25" s="242" t="s">
        <v>23</v>
      </c>
      <c r="H25" s="243">
        <v>7.23</v>
      </c>
      <c r="I25" s="244">
        <v>0.13300000000000001</v>
      </c>
      <c r="J25" s="243"/>
      <c r="K25" s="244"/>
      <c r="L25" s="245" t="str">
        <f t="shared" si="1"/>
        <v>I A</v>
      </c>
      <c r="M25" s="52" t="s">
        <v>369</v>
      </c>
      <c r="N25" s="247" t="s">
        <v>370</v>
      </c>
      <c r="O25" s="166">
        <v>2</v>
      </c>
      <c r="P25" s="157">
        <v>4</v>
      </c>
      <c r="Q25" s="157"/>
      <c r="R25" s="166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</row>
    <row r="26" spans="1:146" s="54" customFormat="1" ht="16.350000000000001" customHeight="1">
      <c r="A26" s="158" t="s">
        <v>23</v>
      </c>
      <c r="B26" s="159">
        <v>329</v>
      </c>
      <c r="C26" s="160" t="s">
        <v>268</v>
      </c>
      <c r="D26" s="161" t="s">
        <v>371</v>
      </c>
      <c r="E26" s="47" t="s">
        <v>372</v>
      </c>
      <c r="F26" s="48" t="s">
        <v>22</v>
      </c>
      <c r="G26" s="242" t="s">
        <v>23</v>
      </c>
      <c r="H26" s="243">
        <v>7.3</v>
      </c>
      <c r="I26" s="244">
        <v>0.13</v>
      </c>
      <c r="J26" s="243"/>
      <c r="K26" s="244"/>
      <c r="L26" s="245" t="str">
        <f t="shared" si="1"/>
        <v>I A</v>
      </c>
      <c r="M26" s="52" t="s">
        <v>373</v>
      </c>
      <c r="N26" s="247" t="s">
        <v>370</v>
      </c>
      <c r="O26" s="166">
        <v>3</v>
      </c>
      <c r="P26" s="157">
        <v>4</v>
      </c>
      <c r="Q26" s="157"/>
      <c r="R26" s="166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</row>
    <row r="27" spans="1:146" s="54" customFormat="1" ht="16.350000000000001" customHeight="1">
      <c r="A27" s="158" t="s">
        <v>23</v>
      </c>
      <c r="B27" s="159">
        <v>328</v>
      </c>
      <c r="C27" s="160" t="s">
        <v>223</v>
      </c>
      <c r="D27" s="161" t="s">
        <v>222</v>
      </c>
      <c r="E27" s="47" t="s">
        <v>221</v>
      </c>
      <c r="F27" s="48" t="s">
        <v>22</v>
      </c>
      <c r="G27" s="242" t="s">
        <v>23</v>
      </c>
      <c r="H27" s="243">
        <v>7.33</v>
      </c>
      <c r="I27" s="244">
        <v>0.16900000000000001</v>
      </c>
      <c r="J27" s="243"/>
      <c r="K27" s="244"/>
      <c r="L27" s="245" t="str">
        <f t="shared" si="1"/>
        <v>II A</v>
      </c>
      <c r="M27" s="52" t="s">
        <v>160</v>
      </c>
      <c r="N27" s="247" t="s">
        <v>374</v>
      </c>
      <c r="O27" s="166">
        <v>4</v>
      </c>
      <c r="P27" s="157">
        <v>4</v>
      </c>
      <c r="Q27" s="157"/>
      <c r="R27" s="166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</row>
    <row r="28" spans="1:146" s="54" customFormat="1" ht="16.350000000000001" customHeight="1">
      <c r="A28" s="158" t="s">
        <v>23</v>
      </c>
      <c r="B28" s="159">
        <v>330</v>
      </c>
      <c r="C28" s="160" t="s">
        <v>375</v>
      </c>
      <c r="D28" s="161" t="s">
        <v>376</v>
      </c>
      <c r="E28" s="47" t="s">
        <v>377</v>
      </c>
      <c r="F28" s="48" t="s">
        <v>22</v>
      </c>
      <c r="G28" s="242" t="s">
        <v>23</v>
      </c>
      <c r="H28" s="243">
        <v>7.37</v>
      </c>
      <c r="I28" s="244">
        <v>0.158</v>
      </c>
      <c r="J28" s="243"/>
      <c r="K28" s="244"/>
      <c r="L28" s="245" t="str">
        <f t="shared" si="1"/>
        <v>II A</v>
      </c>
      <c r="M28" s="52" t="s">
        <v>373</v>
      </c>
      <c r="N28" s="247" t="s">
        <v>378</v>
      </c>
      <c r="O28" s="166">
        <v>4</v>
      </c>
      <c r="P28" s="157">
        <v>2</v>
      </c>
      <c r="Q28" s="157"/>
      <c r="R28" s="166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</row>
    <row r="29" spans="1:146" s="54" customFormat="1" ht="16.350000000000001" customHeight="1">
      <c r="A29" s="158" t="s">
        <v>23</v>
      </c>
      <c r="B29" s="159">
        <v>336</v>
      </c>
      <c r="C29" s="160" t="s">
        <v>268</v>
      </c>
      <c r="D29" s="161" t="s">
        <v>379</v>
      </c>
      <c r="E29" s="47" t="s">
        <v>380</v>
      </c>
      <c r="F29" s="48" t="s">
        <v>205</v>
      </c>
      <c r="G29" s="242" t="s">
        <v>23</v>
      </c>
      <c r="H29" s="243">
        <v>7.4</v>
      </c>
      <c r="I29" s="244">
        <v>0.183</v>
      </c>
      <c r="J29" s="243"/>
      <c r="K29" s="244"/>
      <c r="L29" s="245" t="str">
        <f t="shared" si="1"/>
        <v>II A</v>
      </c>
      <c r="M29" s="52" t="s">
        <v>256</v>
      </c>
      <c r="N29" s="247" t="s">
        <v>336</v>
      </c>
      <c r="O29" s="166">
        <v>1</v>
      </c>
      <c r="P29" s="157">
        <v>5</v>
      </c>
      <c r="Q29" s="157"/>
      <c r="R29" s="166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</row>
    <row r="30" spans="1:146" s="54" customFormat="1" ht="16.350000000000001" customHeight="1">
      <c r="A30" s="158" t="s">
        <v>23</v>
      </c>
      <c r="B30" s="159">
        <v>326</v>
      </c>
      <c r="C30" s="160" t="s">
        <v>276</v>
      </c>
      <c r="D30" s="161" t="s">
        <v>277</v>
      </c>
      <c r="E30" s="47" t="s">
        <v>278</v>
      </c>
      <c r="F30" s="48" t="s">
        <v>22</v>
      </c>
      <c r="G30" s="242" t="s">
        <v>23</v>
      </c>
      <c r="H30" s="243">
        <v>7.4</v>
      </c>
      <c r="I30" s="244">
        <v>0.17199999999999999</v>
      </c>
      <c r="J30" s="243"/>
      <c r="K30" s="244"/>
      <c r="L30" s="245" t="str">
        <f t="shared" si="1"/>
        <v>II A</v>
      </c>
      <c r="M30" s="52" t="s">
        <v>160</v>
      </c>
      <c r="N30" s="247" t="s">
        <v>108</v>
      </c>
      <c r="O30" s="166">
        <v>5</v>
      </c>
      <c r="P30" s="157">
        <v>1</v>
      </c>
      <c r="Q30" s="157"/>
      <c r="R30" s="166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</row>
    <row r="31" spans="1:146" s="54" customFormat="1" ht="16.350000000000001" customHeight="1">
      <c r="A31" s="158" t="s">
        <v>23</v>
      </c>
      <c r="B31" s="159">
        <v>331</v>
      </c>
      <c r="C31" s="160" t="s">
        <v>381</v>
      </c>
      <c r="D31" s="161" t="s">
        <v>382</v>
      </c>
      <c r="E31" s="47" t="s">
        <v>383</v>
      </c>
      <c r="F31" s="48" t="s">
        <v>205</v>
      </c>
      <c r="G31" s="242" t="s">
        <v>23</v>
      </c>
      <c r="H31" s="243">
        <v>7.49</v>
      </c>
      <c r="I31" s="244">
        <v>0.17499999999999999</v>
      </c>
      <c r="J31" s="243"/>
      <c r="K31" s="244"/>
      <c r="L31" s="245" t="str">
        <f t="shared" si="1"/>
        <v>II A</v>
      </c>
      <c r="M31" s="52" t="s">
        <v>384</v>
      </c>
      <c r="N31" s="247" t="s">
        <v>385</v>
      </c>
      <c r="O31" s="166">
        <v>1</v>
      </c>
      <c r="P31" s="157">
        <v>2</v>
      </c>
      <c r="Q31" s="157"/>
      <c r="R31" s="166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</row>
    <row r="32" spans="1:146" s="54" customFormat="1" ht="16.350000000000001" customHeight="1">
      <c r="A32" s="158" t="s">
        <v>23</v>
      </c>
      <c r="B32" s="159">
        <v>273</v>
      </c>
      <c r="C32" s="160" t="s">
        <v>386</v>
      </c>
      <c r="D32" s="161" t="s">
        <v>387</v>
      </c>
      <c r="E32" s="47" t="s">
        <v>388</v>
      </c>
      <c r="F32" s="48" t="s">
        <v>22</v>
      </c>
      <c r="G32" s="242" t="s">
        <v>23</v>
      </c>
      <c r="H32" s="243">
        <v>7.58</v>
      </c>
      <c r="I32" s="244">
        <v>0.15</v>
      </c>
      <c r="J32" s="243"/>
      <c r="K32" s="244"/>
      <c r="L32" s="245" t="str">
        <f t="shared" si="1"/>
        <v>II A</v>
      </c>
      <c r="M32" s="52" t="s">
        <v>389</v>
      </c>
      <c r="N32" s="247" t="s">
        <v>390</v>
      </c>
      <c r="O32" s="166">
        <v>2</v>
      </c>
      <c r="P32" s="157">
        <v>2</v>
      </c>
      <c r="Q32" s="157"/>
      <c r="R32" s="166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</row>
    <row r="33" spans="1:146" s="54" customFormat="1" ht="16.350000000000001" customHeight="1">
      <c r="A33" s="158" t="s">
        <v>23</v>
      </c>
      <c r="B33" s="159">
        <v>230</v>
      </c>
      <c r="C33" s="160" t="s">
        <v>391</v>
      </c>
      <c r="D33" s="161" t="s">
        <v>392</v>
      </c>
      <c r="E33" s="47" t="s">
        <v>393</v>
      </c>
      <c r="F33" s="48" t="s">
        <v>22</v>
      </c>
      <c r="G33" s="242" t="s">
        <v>23</v>
      </c>
      <c r="H33" s="243">
        <v>7.74</v>
      </c>
      <c r="I33" s="244">
        <v>0.248</v>
      </c>
      <c r="J33" s="243"/>
      <c r="K33" s="244"/>
      <c r="L33" s="245" t="str">
        <f t="shared" si="1"/>
        <v>III A</v>
      </c>
      <c r="M33" s="52" t="s">
        <v>127</v>
      </c>
      <c r="N33" s="247" t="s">
        <v>357</v>
      </c>
      <c r="O33" s="166">
        <v>2</v>
      </c>
      <c r="P33" s="157">
        <v>6</v>
      </c>
      <c r="Q33" s="157"/>
      <c r="R33" s="166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</row>
    <row r="34" spans="1:146" s="54" customFormat="1" ht="16.350000000000001" customHeight="1">
      <c r="A34" s="158" t="s">
        <v>23</v>
      </c>
      <c r="B34" s="159">
        <v>272</v>
      </c>
      <c r="C34" s="160" t="s">
        <v>394</v>
      </c>
      <c r="D34" s="161" t="s">
        <v>395</v>
      </c>
      <c r="E34" s="47" t="s">
        <v>396</v>
      </c>
      <c r="F34" s="48" t="s">
        <v>22</v>
      </c>
      <c r="G34" s="242" t="s">
        <v>23</v>
      </c>
      <c r="H34" s="243">
        <v>7.83</v>
      </c>
      <c r="I34" s="244">
        <v>0.20499999999999999</v>
      </c>
      <c r="J34" s="243"/>
      <c r="K34" s="244"/>
      <c r="L34" s="245" t="str">
        <f t="shared" si="1"/>
        <v>III A</v>
      </c>
      <c r="M34" s="52" t="s">
        <v>389</v>
      </c>
      <c r="N34" s="247" t="s">
        <v>397</v>
      </c>
      <c r="O34" s="166">
        <v>4</v>
      </c>
      <c r="P34" s="157">
        <v>6</v>
      </c>
      <c r="Q34" s="157"/>
      <c r="R34" s="166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</row>
    <row r="35" spans="1:146" s="54" customFormat="1" ht="15" customHeight="1">
      <c r="A35" s="158"/>
      <c r="B35" s="159">
        <v>352</v>
      </c>
      <c r="C35" s="160" t="s">
        <v>398</v>
      </c>
      <c r="D35" s="161" t="s">
        <v>399</v>
      </c>
      <c r="E35" s="47" t="s">
        <v>400</v>
      </c>
      <c r="F35" s="48" t="s">
        <v>54</v>
      </c>
      <c r="G35" s="242"/>
      <c r="H35" s="243" t="s">
        <v>30</v>
      </c>
      <c r="I35" s="244"/>
      <c r="J35" s="243"/>
      <c r="K35" s="244"/>
      <c r="L35" s="245" t="str">
        <f t="shared" si="1"/>
        <v/>
      </c>
      <c r="M35" s="52" t="s">
        <v>344</v>
      </c>
      <c r="N35" s="247" t="s">
        <v>316</v>
      </c>
      <c r="O35" s="166">
        <v>3</v>
      </c>
      <c r="P35" s="157">
        <v>3</v>
      </c>
      <c r="Q35" s="157"/>
      <c r="R35" s="166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</row>
    <row r="36" spans="1:146" s="54" customFormat="1" ht="15" customHeight="1">
      <c r="A36" s="158"/>
      <c r="B36" s="159">
        <v>353</v>
      </c>
      <c r="C36" s="160" t="s">
        <v>401</v>
      </c>
      <c r="D36" s="161" t="s">
        <v>402</v>
      </c>
      <c r="E36" s="47" t="s">
        <v>328</v>
      </c>
      <c r="F36" s="48" t="s">
        <v>54</v>
      </c>
      <c r="G36" s="242"/>
      <c r="H36" s="243" t="s">
        <v>30</v>
      </c>
      <c r="I36" s="244"/>
      <c r="J36" s="243"/>
      <c r="K36" s="244"/>
      <c r="L36" s="245" t="str">
        <f t="shared" si="1"/>
        <v/>
      </c>
      <c r="M36" s="52" t="s">
        <v>403</v>
      </c>
      <c r="N36" s="247" t="s">
        <v>404</v>
      </c>
      <c r="O36" s="166">
        <v>2</v>
      </c>
      <c r="P36" s="157">
        <v>5</v>
      </c>
      <c r="Q36" s="157"/>
      <c r="R36" s="166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</row>
    <row r="37" spans="1:146" s="54" customFormat="1" ht="15" customHeight="1">
      <c r="A37" s="158"/>
      <c r="B37" s="159">
        <v>303</v>
      </c>
      <c r="C37" s="160" t="s">
        <v>405</v>
      </c>
      <c r="D37" s="161" t="s">
        <v>406</v>
      </c>
      <c r="E37" s="47" t="s">
        <v>407</v>
      </c>
      <c r="F37" s="48" t="s">
        <v>138</v>
      </c>
      <c r="G37" s="242" t="s">
        <v>23</v>
      </c>
      <c r="H37" s="243" t="s">
        <v>30</v>
      </c>
      <c r="I37" s="244"/>
      <c r="J37" s="243"/>
      <c r="K37" s="244"/>
      <c r="L37" s="245" t="str">
        <f t="shared" si="1"/>
        <v/>
      </c>
      <c r="M37" s="52" t="s">
        <v>408</v>
      </c>
      <c r="N37" s="247" t="s">
        <v>409</v>
      </c>
      <c r="O37" s="166">
        <v>3</v>
      </c>
      <c r="P37" s="157">
        <v>2</v>
      </c>
      <c r="Q37" s="157"/>
      <c r="R37" s="166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</row>
    <row r="38" spans="1:146" s="54" customFormat="1" ht="15" customHeight="1">
      <c r="A38" s="158"/>
      <c r="B38" s="159">
        <v>310</v>
      </c>
      <c r="C38" s="160" t="s">
        <v>358</v>
      </c>
      <c r="D38" s="161" t="s">
        <v>410</v>
      </c>
      <c r="E38" s="47" t="s">
        <v>411</v>
      </c>
      <c r="F38" s="48" t="s">
        <v>243</v>
      </c>
      <c r="G38" s="242"/>
      <c r="H38" s="243" t="s">
        <v>30</v>
      </c>
      <c r="I38" s="244"/>
      <c r="J38" s="243"/>
      <c r="K38" s="244"/>
      <c r="L38" s="245" t="str">
        <f t="shared" si="1"/>
        <v/>
      </c>
      <c r="M38" s="52" t="s">
        <v>315</v>
      </c>
      <c r="N38" s="247" t="s">
        <v>412</v>
      </c>
      <c r="O38" s="166">
        <v>5</v>
      </c>
      <c r="P38" s="157">
        <v>5</v>
      </c>
      <c r="Q38" s="157"/>
      <c r="R38" s="166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</row>
    <row r="39" spans="1:146" s="54" customFormat="1" ht="15" customHeight="1">
      <c r="A39" s="158"/>
      <c r="B39" s="159">
        <v>257</v>
      </c>
      <c r="C39" s="160" t="s">
        <v>413</v>
      </c>
      <c r="D39" s="161" t="s">
        <v>414</v>
      </c>
      <c r="E39" s="47" t="s">
        <v>415</v>
      </c>
      <c r="F39" s="48" t="s">
        <v>88</v>
      </c>
      <c r="G39" s="242"/>
      <c r="H39" s="243" t="s">
        <v>30</v>
      </c>
      <c r="I39" s="244"/>
      <c r="J39" s="243"/>
      <c r="K39" s="244"/>
      <c r="L39" s="245" t="str">
        <f t="shared" si="1"/>
        <v/>
      </c>
      <c r="M39" s="52" t="s">
        <v>416</v>
      </c>
      <c r="N39" s="247" t="s">
        <v>108</v>
      </c>
      <c r="O39" s="166">
        <v>3</v>
      </c>
      <c r="P39" s="157">
        <v>1</v>
      </c>
      <c r="Q39" s="157"/>
      <c r="R39" s="166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</row>
  </sheetData>
  <printOptions horizontalCentered="1"/>
  <pageMargins left="0.39370078740157483" right="0.39370078740157483" top="0.39370078740157483" bottom="0.19685039370078741" header="0.51181102362204722" footer="0.51181102362204722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4"/>
  <sheetViews>
    <sheetView zoomScaleNormal="100" workbookViewId="0">
      <selection activeCell="C34" sqref="C34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71" bestFit="1" customWidth="1"/>
    <col min="9" max="9" width="4.140625" style="143" hidden="1" customWidth="1"/>
    <col min="10" max="10" width="5.140625" style="24" customWidth="1"/>
    <col min="11" max="11" width="24.5703125" style="18" customWidth="1"/>
    <col min="12" max="12" width="5.5703125" style="149" hidden="1" customWidth="1"/>
    <col min="13" max="13" width="4.42578125" style="18" hidden="1" customWidth="1"/>
    <col min="14" max="14" width="4.5703125" style="332" hidden="1" customWidth="1"/>
    <col min="15" max="243" width="9.140625" style="18"/>
    <col min="244" max="16384" width="9.140625" style="7"/>
  </cols>
  <sheetData>
    <row r="1" spans="1:244" s="2" customFormat="1" ht="18.75">
      <c r="A1" s="1" t="s">
        <v>0</v>
      </c>
      <c r="E1" s="3"/>
      <c r="F1" s="4"/>
      <c r="G1" s="5"/>
      <c r="H1" s="71"/>
      <c r="I1" s="143"/>
      <c r="J1" s="3"/>
      <c r="L1" s="144"/>
      <c r="N1" s="336"/>
      <c r="IJ1" s="7"/>
    </row>
    <row r="2" spans="1:244" s="2" customFormat="1" ht="13.5" customHeight="1">
      <c r="E2" s="3"/>
      <c r="F2" s="4"/>
      <c r="G2" s="5"/>
      <c r="H2" s="71"/>
      <c r="I2" s="143"/>
      <c r="J2" s="3"/>
      <c r="K2" s="8" t="s">
        <v>1</v>
      </c>
      <c r="L2" s="144"/>
      <c r="N2" s="336"/>
      <c r="IJ2" s="7"/>
    </row>
    <row r="3" spans="1:244" s="9" customFormat="1" ht="4.5" customHeight="1">
      <c r="C3" s="10"/>
      <c r="E3" s="26"/>
      <c r="F3" s="12"/>
      <c r="G3" s="13"/>
      <c r="H3" s="147"/>
      <c r="I3" s="148"/>
      <c r="J3" s="16"/>
      <c r="K3" s="17"/>
      <c r="L3" s="149"/>
      <c r="N3" s="332"/>
    </row>
    <row r="4" spans="1:244" ht="15.75">
      <c r="C4" s="19" t="s">
        <v>659</v>
      </c>
      <c r="E4" s="20"/>
      <c r="F4" s="21"/>
      <c r="K4" s="25" t="s">
        <v>3</v>
      </c>
    </row>
    <row r="5" spans="1:244" s="9" customFormat="1" ht="6" customHeight="1">
      <c r="E5" s="30"/>
      <c r="F5" s="31"/>
      <c r="G5" s="13"/>
      <c r="H5" s="153"/>
      <c r="I5" s="148"/>
      <c r="J5" s="16"/>
      <c r="K5" s="17"/>
      <c r="L5" s="149"/>
      <c r="N5" s="332"/>
    </row>
    <row r="6" spans="1:244" s="9" customFormat="1" ht="12.75" customHeight="1">
      <c r="C6" s="18"/>
      <c r="D6" s="27">
        <v>1</v>
      </c>
      <c r="E6" s="28" t="s">
        <v>98</v>
      </c>
      <c r="F6" s="29"/>
      <c r="G6" s="13"/>
      <c r="H6" s="147"/>
      <c r="I6" s="148"/>
      <c r="J6" s="16"/>
      <c r="K6" s="17"/>
      <c r="L6" s="149"/>
      <c r="N6" s="332"/>
    </row>
    <row r="7" spans="1:244" s="9" customFormat="1" ht="6" customHeight="1">
      <c r="E7" s="30"/>
      <c r="F7" s="31"/>
      <c r="G7" s="13"/>
      <c r="H7" s="153"/>
      <c r="I7" s="148"/>
      <c r="J7" s="16"/>
      <c r="K7" s="17"/>
      <c r="L7" s="149"/>
      <c r="N7" s="332"/>
    </row>
    <row r="8" spans="1:244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</v>
      </c>
      <c r="I8" s="156" t="s">
        <v>101</v>
      </c>
      <c r="J8" s="42" t="s">
        <v>12</v>
      </c>
      <c r="K8" s="33" t="s">
        <v>13</v>
      </c>
      <c r="L8" s="149" t="s">
        <v>103</v>
      </c>
      <c r="M8" s="18" t="s">
        <v>104</v>
      </c>
      <c r="N8" s="335" t="s">
        <v>99</v>
      </c>
    </row>
    <row r="9" spans="1:244" s="54" customFormat="1" ht="16.350000000000001" customHeight="1">
      <c r="A9" s="43">
        <v>1</v>
      </c>
      <c r="B9" s="44">
        <v>288</v>
      </c>
      <c r="C9" s="160" t="s">
        <v>658</v>
      </c>
      <c r="D9" s="161" t="s">
        <v>657</v>
      </c>
      <c r="E9" s="185" t="s">
        <v>656</v>
      </c>
      <c r="F9" s="48" t="s">
        <v>49</v>
      </c>
      <c r="G9" s="49">
        <f>IF(ISBLANK(H9),"",TRUNC(1.962*(H9-47.5)^2))</f>
        <v>776</v>
      </c>
      <c r="H9" s="162">
        <v>27.61</v>
      </c>
      <c r="I9" s="265"/>
      <c r="J9" s="51" t="str">
        <f>IF(ISBLANK(H9),"",IF(H9&gt;31.74,"",IF(H9&lt;=0,"TSM",IF(H9&lt;=0,"SM",IF(H9&lt;=25.95,"KSM",IF(H9&lt;=27.35,"I A",IF(H9&lt;=29.24,"II A",IF(H9&lt;=31.74,"III A"))))))))</f>
        <v>II A</v>
      </c>
      <c r="K9" s="52" t="s">
        <v>655</v>
      </c>
      <c r="L9" s="334" t="s">
        <v>108</v>
      </c>
      <c r="M9" s="53">
        <v>1</v>
      </c>
      <c r="N9" s="333">
        <v>3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</row>
    <row r="10" spans="1:244" s="54" customFormat="1" ht="16.350000000000001" customHeight="1">
      <c r="A10" s="43">
        <v>2</v>
      </c>
      <c r="B10" s="44">
        <v>371</v>
      </c>
      <c r="C10" s="160" t="s">
        <v>25</v>
      </c>
      <c r="D10" s="161" t="s">
        <v>186</v>
      </c>
      <c r="E10" s="185" t="s">
        <v>187</v>
      </c>
      <c r="F10" s="48" t="s">
        <v>184</v>
      </c>
      <c r="G10" s="49">
        <f>IF(ISBLANK(H10),"",TRUNC(1.962*(H10-47.5)^2))</f>
        <v>621</v>
      </c>
      <c r="H10" s="162">
        <v>29.7</v>
      </c>
      <c r="I10" s="265"/>
      <c r="J10" s="51" t="str">
        <f>IF(ISBLANK(H10),"",IF(H10&gt;31.74,"",IF(H10&lt;=0,"TSM",IF(H10&lt;=0,"SM",IF(H10&lt;=25.95,"KSM",IF(H10&lt;=27.35,"I A",IF(H10&lt;=29.24,"II A",IF(H10&lt;=31.74,"III A"))))))))</f>
        <v>III A</v>
      </c>
      <c r="K10" s="52" t="s">
        <v>188</v>
      </c>
      <c r="L10" s="334" t="s">
        <v>108</v>
      </c>
      <c r="M10" s="53">
        <v>1</v>
      </c>
      <c r="N10" s="333">
        <v>4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</row>
    <row r="11" spans="1:244" s="54" customFormat="1" ht="16.350000000000001" customHeight="1">
      <c r="A11" s="43">
        <v>3</v>
      </c>
      <c r="B11" s="44">
        <v>350</v>
      </c>
      <c r="C11" s="160" t="s">
        <v>152</v>
      </c>
      <c r="D11" s="161" t="s">
        <v>153</v>
      </c>
      <c r="E11" s="185" t="s">
        <v>154</v>
      </c>
      <c r="F11" s="48" t="s">
        <v>54</v>
      </c>
      <c r="G11" s="49">
        <f>IF(ISBLANK(H11),"",TRUNC(1.962*(H11-47.5)^2))</f>
        <v>600</v>
      </c>
      <c r="H11" s="162">
        <v>30.01</v>
      </c>
      <c r="I11" s="265"/>
      <c r="J11" s="51" t="str">
        <f>IF(ISBLANK(H11),"",IF(H11&gt;31.74,"",IF(H11&lt;=0,"TSM",IF(H11&lt;=0,"SM",IF(H11&lt;=25.95,"KSM",IF(H11&lt;=27.35,"I A",IF(H11&lt;=29.24,"II A",IF(H11&lt;=31.74,"III A"))))))))</f>
        <v>III A</v>
      </c>
      <c r="K11" s="52" t="s">
        <v>155</v>
      </c>
      <c r="L11" s="334" t="s">
        <v>654</v>
      </c>
      <c r="M11" s="53">
        <v>1</v>
      </c>
      <c r="N11" s="333">
        <v>1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</row>
    <row r="12" spans="1:244" s="54" customFormat="1" ht="16.350000000000001" customHeight="1">
      <c r="A12" s="43" t="s">
        <v>23</v>
      </c>
      <c r="B12" s="44">
        <v>300</v>
      </c>
      <c r="C12" s="160" t="s">
        <v>66</v>
      </c>
      <c r="D12" s="161" t="s">
        <v>67</v>
      </c>
      <c r="E12" s="185" t="s">
        <v>68</v>
      </c>
      <c r="F12" s="48" t="s">
        <v>22</v>
      </c>
      <c r="G12" s="49" t="s">
        <v>23</v>
      </c>
      <c r="H12" s="162">
        <v>27.12</v>
      </c>
      <c r="I12" s="265"/>
      <c r="J12" s="51" t="str">
        <f>IF(ISBLANK(H12),"",IF(H12&gt;31.74,"",IF(H12&lt;=0,"TSM",IF(H12&lt;=0,"SM",IF(H12&lt;=25.95,"KSM",IF(H12&lt;=27.35,"I A",IF(H12&lt;=29.24,"II A",IF(H12&lt;=31.74,"III A"))))))))</f>
        <v>I A</v>
      </c>
      <c r="K12" s="52" t="s">
        <v>69</v>
      </c>
      <c r="L12" s="334" t="s">
        <v>108</v>
      </c>
      <c r="M12" s="53">
        <v>1</v>
      </c>
      <c r="N12" s="333">
        <v>2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</row>
    <row r="13" spans="1:244" s="9" customFormat="1" ht="6" customHeight="1">
      <c r="E13" s="30"/>
      <c r="F13" s="31"/>
      <c r="G13" s="13"/>
      <c r="H13" s="153"/>
      <c r="I13" s="148"/>
      <c r="J13" s="16"/>
      <c r="K13" s="17"/>
      <c r="L13" s="149"/>
      <c r="N13" s="332"/>
    </row>
    <row r="14" spans="1:244" s="9" customFormat="1" ht="12.75" customHeight="1">
      <c r="C14" s="18"/>
      <c r="D14" s="27">
        <v>2</v>
      </c>
      <c r="E14" s="28" t="s">
        <v>98</v>
      </c>
      <c r="F14" s="29"/>
      <c r="G14" s="13"/>
      <c r="H14" s="147"/>
      <c r="I14" s="148"/>
      <c r="J14" s="16"/>
      <c r="K14" s="17"/>
      <c r="L14" s="149"/>
      <c r="N14" s="332"/>
    </row>
    <row r="15" spans="1:244" s="9" customFormat="1" ht="6" customHeight="1">
      <c r="E15" s="30"/>
      <c r="F15" s="31"/>
      <c r="G15" s="13"/>
      <c r="H15" s="153"/>
      <c r="I15" s="148"/>
      <c r="J15" s="16"/>
      <c r="K15" s="17"/>
      <c r="L15" s="149"/>
      <c r="N15" s="332"/>
    </row>
    <row r="16" spans="1:244" ht="11.25" customHeight="1">
      <c r="A16" s="33" t="s">
        <v>29</v>
      </c>
      <c r="B16" s="33" t="s">
        <v>4</v>
      </c>
      <c r="C16" s="35" t="s">
        <v>5</v>
      </c>
      <c r="D16" s="36" t="s">
        <v>6</v>
      </c>
      <c r="E16" s="154" t="s">
        <v>7</v>
      </c>
      <c r="F16" s="38" t="s">
        <v>8</v>
      </c>
      <c r="G16" s="39" t="s">
        <v>9</v>
      </c>
      <c r="H16" s="155" t="s">
        <v>10</v>
      </c>
      <c r="I16" s="156" t="s">
        <v>101</v>
      </c>
      <c r="J16" s="42" t="s">
        <v>12</v>
      </c>
      <c r="K16" s="33" t="s">
        <v>13</v>
      </c>
      <c r="L16" s="149" t="s">
        <v>103</v>
      </c>
      <c r="M16" s="18" t="s">
        <v>104</v>
      </c>
      <c r="N16" s="335" t="s">
        <v>99</v>
      </c>
    </row>
    <row r="17" spans="1:241" s="54" customFormat="1" ht="16.350000000000001" customHeight="1">
      <c r="A17" s="43">
        <v>1</v>
      </c>
      <c r="B17" s="44">
        <v>373</v>
      </c>
      <c r="C17" s="160" t="s">
        <v>91</v>
      </c>
      <c r="D17" s="161" t="s">
        <v>454</v>
      </c>
      <c r="E17" s="185" t="s">
        <v>453</v>
      </c>
      <c r="F17" s="48" t="s">
        <v>17</v>
      </c>
      <c r="G17" s="49">
        <f>IF(ISBLANK(H17),"",TRUNC(1.962*(H17-47.5)^2))</f>
        <v>802</v>
      </c>
      <c r="H17" s="162">
        <v>27.27</v>
      </c>
      <c r="I17" s="265"/>
      <c r="J17" s="51" t="str">
        <f>IF(ISBLANK(H17),"",IF(H17&gt;31.74,"",IF(H17&lt;=0,"TSM",IF(H17&lt;=0,"SM",IF(H17&lt;=25.95,"KSM",IF(H17&lt;=27.35,"I A",IF(H17&lt;=29.24,"II A",IF(H17&lt;=31.74,"III A"))))))))</f>
        <v>I A</v>
      </c>
      <c r="K17" s="52" t="s">
        <v>127</v>
      </c>
      <c r="L17" s="334" t="s">
        <v>646</v>
      </c>
      <c r="M17" s="53">
        <v>2</v>
      </c>
      <c r="N17" s="333">
        <v>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</row>
    <row r="18" spans="1:241" s="54" customFormat="1" ht="16.350000000000001" customHeight="1">
      <c r="A18" s="43">
        <v>2</v>
      </c>
      <c r="B18" s="44">
        <v>356</v>
      </c>
      <c r="C18" s="160" t="s">
        <v>161</v>
      </c>
      <c r="D18" s="161" t="s">
        <v>162</v>
      </c>
      <c r="E18" s="185" t="s">
        <v>163</v>
      </c>
      <c r="F18" s="48" t="s">
        <v>54</v>
      </c>
      <c r="G18" s="49">
        <f>IF(ISBLANK(H18),"",TRUNC(1.962*(H18-47.5)^2))</f>
        <v>709</v>
      </c>
      <c r="H18" s="162">
        <v>28.49</v>
      </c>
      <c r="I18" s="265"/>
      <c r="J18" s="51" t="str">
        <f>IF(ISBLANK(H18),"",IF(H18&gt;31.74,"",IF(H18&lt;=0,"TSM",IF(H18&lt;=0,"SM",IF(H18&lt;=25.95,"KSM",IF(H18&lt;=27.35,"I A",IF(H18&lt;=29.24,"II A",IF(H18&lt;=31.74,"III A"))))))))</f>
        <v>II A</v>
      </c>
      <c r="K18" s="52" t="s">
        <v>79</v>
      </c>
      <c r="L18" s="334" t="s">
        <v>653</v>
      </c>
      <c r="M18" s="53">
        <v>2</v>
      </c>
      <c r="N18" s="333">
        <v>4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</row>
    <row r="19" spans="1:241" s="54" customFormat="1" ht="16.350000000000001" customHeight="1">
      <c r="A19" s="43">
        <v>3</v>
      </c>
      <c r="B19" s="44">
        <v>365</v>
      </c>
      <c r="C19" s="160" t="s">
        <v>181</v>
      </c>
      <c r="D19" s="161" t="s">
        <v>182</v>
      </c>
      <c r="E19" s="185" t="s">
        <v>183</v>
      </c>
      <c r="F19" s="48" t="s">
        <v>184</v>
      </c>
      <c r="G19" s="49">
        <f>IF(ISBLANK(H19),"",TRUNC(1.962*(H19-47.5)^2))</f>
        <v>585</v>
      </c>
      <c r="H19" s="162">
        <v>30.22</v>
      </c>
      <c r="I19" s="265"/>
      <c r="J19" s="51" t="str">
        <f>IF(ISBLANK(H19),"",IF(H19&gt;31.74,"",IF(H19&lt;=0,"TSM",IF(H19&lt;=0,"SM",IF(H19&lt;=25.95,"KSM",IF(H19&lt;=27.35,"I A",IF(H19&lt;=29.24,"II A",IF(H19&lt;=31.74,"III A"))))))))</f>
        <v>III A</v>
      </c>
      <c r="K19" s="52" t="s">
        <v>127</v>
      </c>
      <c r="L19" s="334" t="s">
        <v>652</v>
      </c>
      <c r="M19" s="53">
        <v>2</v>
      </c>
      <c r="N19" s="333">
        <v>1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</row>
    <row r="20" spans="1:241" s="54" customFormat="1" ht="16.350000000000001" customHeight="1">
      <c r="A20" s="43" t="s">
        <v>23</v>
      </c>
      <c r="B20" s="44">
        <v>325</v>
      </c>
      <c r="C20" s="160" t="s">
        <v>651</v>
      </c>
      <c r="D20" s="161" t="s">
        <v>650</v>
      </c>
      <c r="E20" s="185" t="s">
        <v>649</v>
      </c>
      <c r="F20" s="48" t="s">
        <v>22</v>
      </c>
      <c r="G20" s="49" t="s">
        <v>23</v>
      </c>
      <c r="H20" s="162">
        <v>27.14</v>
      </c>
      <c r="I20" s="265"/>
      <c r="J20" s="51" t="str">
        <f>IF(ISBLANK(H20),"",IF(H20&gt;31.74,"",IF(H20&lt;=0,"TSM",IF(H20&lt;=0,"SM",IF(H20&lt;=25.95,"KSM",IF(H20&lt;=27.35,"I A",IF(H20&lt;=29.24,"II A",IF(H20&lt;=31.74,"III A"))))))))</f>
        <v>I A</v>
      </c>
      <c r="K20" s="52" t="s">
        <v>648</v>
      </c>
      <c r="L20" s="334" t="s">
        <v>108</v>
      </c>
      <c r="M20" s="53">
        <v>2</v>
      </c>
      <c r="N20" s="333">
        <v>2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</row>
    <row r="21" spans="1:241" s="9" customFormat="1" ht="6" customHeight="1">
      <c r="E21" s="30"/>
      <c r="F21" s="31"/>
      <c r="G21" s="13"/>
      <c r="H21" s="153"/>
      <c r="I21" s="148"/>
      <c r="J21" s="16"/>
      <c r="K21" s="17"/>
      <c r="L21" s="149"/>
      <c r="N21" s="332"/>
    </row>
    <row r="22" spans="1:241" s="9" customFormat="1" ht="12.75" customHeight="1">
      <c r="C22" s="18"/>
      <c r="D22" s="27">
        <v>3</v>
      </c>
      <c r="E22" s="28" t="s">
        <v>98</v>
      </c>
      <c r="F22" s="29"/>
      <c r="G22" s="13"/>
      <c r="H22" s="147"/>
      <c r="I22" s="148"/>
      <c r="J22" s="16"/>
      <c r="K22" s="17"/>
      <c r="L22" s="149"/>
      <c r="N22" s="332"/>
    </row>
    <row r="23" spans="1:241" s="9" customFormat="1" ht="6" customHeight="1">
      <c r="E23" s="30"/>
      <c r="F23" s="31"/>
      <c r="G23" s="13"/>
      <c r="H23" s="153"/>
      <c r="I23" s="148"/>
      <c r="J23" s="16"/>
      <c r="K23" s="17"/>
      <c r="L23" s="149"/>
      <c r="N23" s="332"/>
    </row>
    <row r="24" spans="1:241" ht="11.25" customHeight="1">
      <c r="A24" s="33" t="s">
        <v>29</v>
      </c>
      <c r="B24" s="33" t="s">
        <v>4</v>
      </c>
      <c r="C24" s="35" t="s">
        <v>5</v>
      </c>
      <c r="D24" s="36" t="s">
        <v>6</v>
      </c>
      <c r="E24" s="154" t="s">
        <v>7</v>
      </c>
      <c r="F24" s="38" t="s">
        <v>8</v>
      </c>
      <c r="G24" s="39" t="s">
        <v>9</v>
      </c>
      <c r="H24" s="155" t="s">
        <v>10</v>
      </c>
      <c r="I24" s="156" t="s">
        <v>101</v>
      </c>
      <c r="J24" s="42" t="s">
        <v>12</v>
      </c>
      <c r="K24" s="33" t="s">
        <v>13</v>
      </c>
      <c r="L24" s="149" t="s">
        <v>103</v>
      </c>
      <c r="M24" s="18" t="s">
        <v>104</v>
      </c>
      <c r="N24" s="335" t="s">
        <v>99</v>
      </c>
    </row>
    <row r="25" spans="1:241" s="54" customFormat="1" ht="16.350000000000001" customHeight="1">
      <c r="A25" s="43">
        <v>1</v>
      </c>
      <c r="B25" s="44">
        <v>258</v>
      </c>
      <c r="C25" s="160" t="s">
        <v>176</v>
      </c>
      <c r="D25" s="161" t="s">
        <v>177</v>
      </c>
      <c r="E25" s="185" t="s">
        <v>178</v>
      </c>
      <c r="F25" s="48" t="s">
        <v>88</v>
      </c>
      <c r="G25" s="49">
        <f>IF(ISBLANK(H25),"",TRUNC(1.962*(H25-47.5)^2))</f>
        <v>862</v>
      </c>
      <c r="H25" s="162">
        <v>26.53</v>
      </c>
      <c r="I25" s="265"/>
      <c r="J25" s="51" t="str">
        <f>IF(ISBLANK(H25),"",IF(H25&gt;31.74,"",IF(H25&lt;=0,"TSM",IF(H25&lt;=0,"SM",IF(H25&lt;=25.95,"KSM",IF(H25&lt;=27.35,"I A",IF(H25&lt;=29.24,"II A",IF(H25&lt;=31.74,"III A"))))))))</f>
        <v>I A</v>
      </c>
      <c r="K25" s="52" t="s">
        <v>179</v>
      </c>
      <c r="L25" s="334" t="s">
        <v>108</v>
      </c>
      <c r="M25" s="53">
        <v>3</v>
      </c>
      <c r="N25" s="333">
        <v>4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</row>
    <row r="26" spans="1:241" s="54" customFormat="1" ht="16.350000000000001" customHeight="1">
      <c r="A26" s="43">
        <v>2</v>
      </c>
      <c r="B26" s="44">
        <v>305</v>
      </c>
      <c r="C26" s="160" t="s">
        <v>451</v>
      </c>
      <c r="D26" s="161" t="s">
        <v>450</v>
      </c>
      <c r="E26" s="185" t="s">
        <v>135</v>
      </c>
      <c r="F26" s="48" t="s">
        <v>243</v>
      </c>
      <c r="G26" s="49">
        <f>IF(ISBLANK(H26),"",TRUNC(1.962*(H26-47.5)^2))</f>
        <v>801</v>
      </c>
      <c r="H26" s="162">
        <v>27.29</v>
      </c>
      <c r="I26" s="265"/>
      <c r="J26" s="51" t="str">
        <f>IF(ISBLANK(H26),"",IF(H26&gt;31.74,"",IF(H26&lt;=0,"TSM",IF(H26&lt;=0,"SM",IF(H26&lt;=25.95,"KSM",IF(H26&lt;=27.35,"I A",IF(H26&lt;=29.24,"II A",IF(H26&lt;=31.74,"III A"))))))))</f>
        <v>I A</v>
      </c>
      <c r="K26" s="52" t="s">
        <v>449</v>
      </c>
      <c r="L26" s="334" t="s">
        <v>647</v>
      </c>
      <c r="M26" s="53">
        <v>3</v>
      </c>
      <c r="N26" s="333">
        <v>3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</row>
    <row r="27" spans="1:241" s="54" customFormat="1" ht="16.350000000000001" customHeight="1">
      <c r="A27" s="43" t="s">
        <v>23</v>
      </c>
      <c r="B27" s="44">
        <v>301</v>
      </c>
      <c r="C27" s="160" t="s">
        <v>14</v>
      </c>
      <c r="D27" s="161" t="s">
        <v>136</v>
      </c>
      <c r="E27" s="185" t="s">
        <v>137</v>
      </c>
      <c r="F27" s="48" t="s">
        <v>138</v>
      </c>
      <c r="G27" s="49" t="s">
        <v>23</v>
      </c>
      <c r="H27" s="162">
        <v>27.56</v>
      </c>
      <c r="I27" s="265"/>
      <c r="J27" s="51" t="str">
        <f>IF(ISBLANK(H27),"",IF(H27&gt;31.74,"",IF(H27&lt;=0,"TSM",IF(H27&lt;=0,"SM",IF(H27&lt;=25.95,"KSM",IF(H27&lt;=27.35,"I A",IF(H27&lt;=29.24,"II A",IF(H27&lt;=31.74,"III A"))))))))</f>
        <v>II A</v>
      </c>
      <c r="K27" s="52" t="s">
        <v>139</v>
      </c>
      <c r="L27" s="334" t="s">
        <v>646</v>
      </c>
      <c r="M27" s="53">
        <v>3</v>
      </c>
      <c r="N27" s="333">
        <v>2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</row>
    <row r="28" spans="1:241" s="9" customFormat="1" ht="6" customHeight="1">
      <c r="E28" s="30"/>
      <c r="F28" s="31"/>
      <c r="G28" s="13"/>
      <c r="H28" s="153"/>
      <c r="I28" s="148"/>
      <c r="J28" s="16"/>
      <c r="K28" s="17"/>
      <c r="L28" s="149"/>
      <c r="N28" s="332"/>
    </row>
    <row r="29" spans="1:241" s="9" customFormat="1" ht="12.75" customHeight="1">
      <c r="C29" s="18"/>
      <c r="D29" s="27">
        <v>4</v>
      </c>
      <c r="E29" s="28" t="s">
        <v>98</v>
      </c>
      <c r="F29" s="29"/>
      <c r="G29" s="13"/>
      <c r="H29" s="147"/>
      <c r="I29" s="148"/>
      <c r="J29" s="16"/>
      <c r="K29" s="17"/>
      <c r="L29" s="149"/>
      <c r="N29" s="332"/>
    </row>
    <row r="30" spans="1:241" s="9" customFormat="1" ht="6" customHeight="1">
      <c r="E30" s="30"/>
      <c r="F30" s="31"/>
      <c r="G30" s="13"/>
      <c r="H30" s="153"/>
      <c r="I30" s="148"/>
      <c r="J30" s="16"/>
      <c r="K30" s="17"/>
      <c r="L30" s="149"/>
      <c r="N30" s="332"/>
    </row>
    <row r="31" spans="1:241" ht="11.25" customHeight="1">
      <c r="A31" s="33" t="s">
        <v>29</v>
      </c>
      <c r="B31" s="33" t="s">
        <v>4</v>
      </c>
      <c r="C31" s="35" t="s">
        <v>5</v>
      </c>
      <c r="D31" s="36" t="s">
        <v>6</v>
      </c>
      <c r="E31" s="154" t="s">
        <v>7</v>
      </c>
      <c r="F31" s="38" t="s">
        <v>8</v>
      </c>
      <c r="G31" s="39" t="s">
        <v>9</v>
      </c>
      <c r="H31" s="155" t="s">
        <v>10</v>
      </c>
      <c r="I31" s="156" t="s">
        <v>101</v>
      </c>
      <c r="J31" s="42" t="s">
        <v>12</v>
      </c>
      <c r="K31" s="33" t="s">
        <v>13</v>
      </c>
      <c r="L31" s="149" t="s">
        <v>103</v>
      </c>
      <c r="M31" s="18" t="s">
        <v>104</v>
      </c>
      <c r="N31" s="335" t="s">
        <v>99</v>
      </c>
    </row>
    <row r="32" spans="1:241" s="54" customFormat="1" ht="16.350000000000001" customHeight="1">
      <c r="A32" s="43">
        <v>1</v>
      </c>
      <c r="B32" s="44">
        <v>394</v>
      </c>
      <c r="C32" s="160" t="s">
        <v>165</v>
      </c>
      <c r="D32" s="161" t="s">
        <v>166</v>
      </c>
      <c r="E32" s="185" t="s">
        <v>167</v>
      </c>
      <c r="F32" s="48" t="s">
        <v>17</v>
      </c>
      <c r="G32" s="49">
        <f>IF(ISBLANK(H32),"",TRUNC(1.962*(H32-47.5)^2))</f>
        <v>984</v>
      </c>
      <c r="H32" s="162">
        <v>25.1</v>
      </c>
      <c r="I32" s="265"/>
      <c r="J32" s="51" t="str">
        <f>IF(ISBLANK(H32),"",IF(H32&gt;31.74,"",IF(H32&lt;=0,"TSM",IF(H32&lt;=0,"SM",IF(H32&lt;=25.95,"KSM",IF(H32&lt;=27.35,"I A",IF(H32&lt;=29.24,"II A",IF(H32&lt;=31.74,"III A"))))))))</f>
        <v>KSM</v>
      </c>
      <c r="K32" s="52" t="s">
        <v>168</v>
      </c>
      <c r="L32" s="334" t="s">
        <v>108</v>
      </c>
      <c r="M32" s="53">
        <v>4</v>
      </c>
      <c r="N32" s="333">
        <v>3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</row>
    <row r="33" spans="1:241" s="54" customFormat="1" ht="16.350000000000001" customHeight="1">
      <c r="A33" s="43">
        <v>2</v>
      </c>
      <c r="B33" s="44">
        <v>298</v>
      </c>
      <c r="C33" s="160" t="s">
        <v>209</v>
      </c>
      <c r="D33" s="161" t="s">
        <v>210</v>
      </c>
      <c r="E33" s="185" t="s">
        <v>211</v>
      </c>
      <c r="F33" s="48" t="s">
        <v>212</v>
      </c>
      <c r="G33" s="49">
        <f>IF(ISBLANK(H33),"",TRUNC(1.962*(H33-47.5)^2))</f>
        <v>917</v>
      </c>
      <c r="H33" s="162">
        <v>25.87</v>
      </c>
      <c r="I33" s="265"/>
      <c r="J33" s="51" t="str">
        <f>IF(ISBLANK(H33),"",IF(H33&gt;31.74,"",IF(H33&lt;=0,"TSM",IF(H33&lt;=0,"SM",IF(H33&lt;=25.95,"KSM",IF(H33&lt;=27.35,"I A",IF(H33&lt;=29.24,"II A",IF(H33&lt;=31.74,"III A"))))))))</f>
        <v>KSM</v>
      </c>
      <c r="K33" s="52" t="s">
        <v>213</v>
      </c>
      <c r="L33" s="334" t="s">
        <v>645</v>
      </c>
      <c r="M33" s="53">
        <v>4</v>
      </c>
      <c r="N33" s="333">
        <v>4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</row>
    <row r="34" spans="1:241" s="54" customFormat="1" ht="16.350000000000001" customHeight="1">
      <c r="A34" s="43">
        <v>3</v>
      </c>
      <c r="B34" s="44">
        <v>355</v>
      </c>
      <c r="C34" s="160" t="s">
        <v>114</v>
      </c>
      <c r="D34" s="161" t="s">
        <v>115</v>
      </c>
      <c r="E34" s="185" t="s">
        <v>116</v>
      </c>
      <c r="F34" s="48" t="s">
        <v>54</v>
      </c>
      <c r="G34" s="49">
        <f>IF(ISBLANK(H34),"",TRUNC(1.962*(H34-47.5)^2))</f>
        <v>879</v>
      </c>
      <c r="H34" s="162">
        <v>26.33</v>
      </c>
      <c r="I34" s="265"/>
      <c r="J34" s="51" t="str">
        <f>IF(ISBLANK(H34),"",IF(H34&gt;31.74,"",IF(H34&lt;=0,"TSM",IF(H34&lt;=0,"SM",IF(H34&lt;=25.95,"KSM",IF(H34&lt;=27.35,"I A",IF(H34&lt;=29.24,"II A",IF(H34&lt;=31.74,"III A"))))))))</f>
        <v>I A</v>
      </c>
      <c r="K34" s="52" t="s">
        <v>117</v>
      </c>
      <c r="L34" s="334" t="s">
        <v>644</v>
      </c>
      <c r="M34" s="53">
        <v>4</v>
      </c>
      <c r="N34" s="333">
        <v>2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J22"/>
  <sheetViews>
    <sheetView zoomScaleNormal="100" workbookViewId="0">
      <selection activeCell="A2" sqref="A2"/>
    </sheetView>
  </sheetViews>
  <sheetFormatPr defaultColWidth="9.140625" defaultRowHeight="12.75"/>
  <cols>
    <col min="1" max="1" width="5.42578125" style="18" customWidth="1"/>
    <col min="2" max="2" width="5" style="18" customWidth="1"/>
    <col min="3" max="3" width="10.28515625" style="18" customWidth="1"/>
    <col min="4" max="4" width="18.285156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71" bestFit="1" customWidth="1"/>
    <col min="9" max="9" width="4.140625" style="143" hidden="1" customWidth="1"/>
    <col min="10" max="10" width="5.140625" style="24" customWidth="1"/>
    <col min="11" max="11" width="24.5703125" style="18" customWidth="1"/>
    <col min="12" max="12" width="5.5703125" style="149" hidden="1" customWidth="1"/>
    <col min="13" max="13" width="4.42578125" style="18" hidden="1" customWidth="1"/>
    <col min="14" max="14" width="4.5703125" style="332" hidden="1" customWidth="1"/>
    <col min="15" max="243" width="9.140625" style="18"/>
    <col min="244" max="16384" width="9.140625" style="7"/>
  </cols>
  <sheetData>
    <row r="1" spans="1:244" s="2" customFormat="1" ht="18.75">
      <c r="A1" s="1" t="s">
        <v>0</v>
      </c>
      <c r="E1" s="3"/>
      <c r="F1" s="4"/>
      <c r="G1" s="5"/>
      <c r="H1" s="71"/>
      <c r="I1" s="143"/>
      <c r="J1" s="3"/>
      <c r="L1" s="144"/>
      <c r="N1" s="336"/>
      <c r="IJ1" s="7"/>
    </row>
    <row r="2" spans="1:244" s="2" customFormat="1" ht="13.5" customHeight="1">
      <c r="E2" s="3"/>
      <c r="F2" s="4"/>
      <c r="G2" s="5"/>
      <c r="H2" s="71"/>
      <c r="I2" s="143"/>
      <c r="J2" s="3"/>
      <c r="K2" s="8" t="s">
        <v>1</v>
      </c>
      <c r="L2" s="144"/>
      <c r="N2" s="336"/>
      <c r="IJ2" s="7"/>
    </row>
    <row r="3" spans="1:244" s="9" customFormat="1" ht="4.5" customHeight="1">
      <c r="C3" s="10"/>
      <c r="E3" s="26"/>
      <c r="F3" s="12"/>
      <c r="G3" s="13"/>
      <c r="H3" s="147"/>
      <c r="I3" s="148"/>
      <c r="J3" s="16"/>
      <c r="K3" s="17"/>
      <c r="L3" s="149"/>
      <c r="N3" s="332"/>
    </row>
    <row r="4" spans="1:244" ht="15.75">
      <c r="C4" s="19" t="s">
        <v>659</v>
      </c>
      <c r="E4" s="20"/>
      <c r="F4" s="21"/>
      <c r="K4" s="25" t="s">
        <v>3</v>
      </c>
    </row>
    <row r="5" spans="1:244" s="9" customFormat="1" ht="6" customHeight="1">
      <c r="E5" s="30"/>
      <c r="F5" s="31"/>
      <c r="G5" s="13"/>
      <c r="H5" s="153"/>
      <c r="I5" s="148"/>
      <c r="J5" s="16"/>
      <c r="K5" s="17"/>
      <c r="L5" s="149"/>
      <c r="N5" s="332"/>
    </row>
    <row r="6" spans="1:244" s="9" customFormat="1" ht="12.75" customHeight="1">
      <c r="C6" s="18"/>
      <c r="D6" s="274" t="s">
        <v>445</v>
      </c>
      <c r="E6" s="28"/>
      <c r="F6" s="29"/>
      <c r="G6" s="13"/>
      <c r="H6" s="147"/>
      <c r="I6" s="148"/>
      <c r="J6" s="16"/>
      <c r="K6" s="17"/>
      <c r="L6" s="149"/>
      <c r="N6" s="332"/>
    </row>
    <row r="7" spans="1:244" s="9" customFormat="1" ht="6" customHeight="1">
      <c r="E7" s="30"/>
      <c r="F7" s="31"/>
      <c r="G7" s="13"/>
      <c r="H7" s="153"/>
      <c r="I7" s="148"/>
      <c r="J7" s="16"/>
      <c r="K7" s="17"/>
      <c r="L7" s="149"/>
      <c r="N7" s="332"/>
    </row>
    <row r="8" spans="1:244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</v>
      </c>
      <c r="I8" s="156" t="s">
        <v>101</v>
      </c>
      <c r="J8" s="42" t="s">
        <v>12</v>
      </c>
      <c r="K8" s="33" t="s">
        <v>13</v>
      </c>
      <c r="L8" s="149" t="s">
        <v>103</v>
      </c>
      <c r="M8" s="18" t="s">
        <v>104</v>
      </c>
      <c r="N8" s="335" t="s">
        <v>99</v>
      </c>
    </row>
    <row r="9" spans="1:244" s="54" customFormat="1" ht="16.350000000000001" customHeight="1">
      <c r="A9" s="43">
        <v>1</v>
      </c>
      <c r="B9" s="44">
        <v>394</v>
      </c>
      <c r="C9" s="160" t="s">
        <v>165</v>
      </c>
      <c r="D9" s="161" t="s">
        <v>166</v>
      </c>
      <c r="E9" s="185" t="s">
        <v>167</v>
      </c>
      <c r="F9" s="48" t="s">
        <v>17</v>
      </c>
      <c r="G9" s="49">
        <f t="shared" ref="G9:G19" si="0">IF(ISBLANK(H9),"",TRUNC(1.962*(H9-47.5)^2))</f>
        <v>984</v>
      </c>
      <c r="H9" s="162">
        <v>25.1</v>
      </c>
      <c r="I9" s="265"/>
      <c r="J9" s="51" t="str">
        <f t="shared" ref="J9:J22" si="1">IF(ISBLANK(H9),"",IF(H9&gt;31.74,"",IF(H9&lt;=0,"TSM",IF(H9&lt;=0,"SM",IF(H9&lt;=25.95,"KSM",IF(H9&lt;=27.35,"I A",IF(H9&lt;=29.24,"II A",IF(H9&lt;=31.74,"III A"))))))))</f>
        <v>KSM</v>
      </c>
      <c r="K9" s="52" t="s">
        <v>168</v>
      </c>
      <c r="L9" s="334" t="s">
        <v>108</v>
      </c>
      <c r="M9" s="53">
        <v>4</v>
      </c>
      <c r="N9" s="333">
        <v>3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</row>
    <row r="10" spans="1:244" s="54" customFormat="1" ht="16.350000000000001" customHeight="1">
      <c r="A10" s="43">
        <v>2</v>
      </c>
      <c r="B10" s="44">
        <v>298</v>
      </c>
      <c r="C10" s="160" t="s">
        <v>209</v>
      </c>
      <c r="D10" s="161" t="s">
        <v>210</v>
      </c>
      <c r="E10" s="185" t="s">
        <v>211</v>
      </c>
      <c r="F10" s="48" t="s">
        <v>212</v>
      </c>
      <c r="G10" s="49">
        <f t="shared" si="0"/>
        <v>917</v>
      </c>
      <c r="H10" s="162">
        <v>25.87</v>
      </c>
      <c r="I10" s="265"/>
      <c r="J10" s="51" t="str">
        <f t="shared" si="1"/>
        <v>KSM</v>
      </c>
      <c r="K10" s="52" t="s">
        <v>213</v>
      </c>
      <c r="L10" s="334" t="s">
        <v>645</v>
      </c>
      <c r="M10" s="53">
        <v>4</v>
      </c>
      <c r="N10" s="333">
        <v>4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</row>
    <row r="11" spans="1:244" s="54" customFormat="1" ht="16.350000000000001" customHeight="1">
      <c r="A11" s="43">
        <v>3</v>
      </c>
      <c r="B11" s="44">
        <v>355</v>
      </c>
      <c r="C11" s="160" t="s">
        <v>114</v>
      </c>
      <c r="D11" s="161" t="s">
        <v>115</v>
      </c>
      <c r="E11" s="185" t="s">
        <v>116</v>
      </c>
      <c r="F11" s="48" t="s">
        <v>54</v>
      </c>
      <c r="G11" s="49">
        <f t="shared" si="0"/>
        <v>879</v>
      </c>
      <c r="H11" s="162">
        <v>26.33</v>
      </c>
      <c r="I11" s="265"/>
      <c r="J11" s="51" t="str">
        <f t="shared" si="1"/>
        <v>I A</v>
      </c>
      <c r="K11" s="52" t="s">
        <v>117</v>
      </c>
      <c r="L11" s="334" t="s">
        <v>644</v>
      </c>
      <c r="M11" s="53">
        <v>4</v>
      </c>
      <c r="N11" s="333">
        <v>2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</row>
    <row r="12" spans="1:244" s="54" customFormat="1" ht="16.350000000000001" customHeight="1">
      <c r="A12" s="43">
        <v>4</v>
      </c>
      <c r="B12" s="44">
        <v>258</v>
      </c>
      <c r="C12" s="160" t="s">
        <v>176</v>
      </c>
      <c r="D12" s="161" t="s">
        <v>177</v>
      </c>
      <c r="E12" s="185" t="s">
        <v>178</v>
      </c>
      <c r="F12" s="48" t="s">
        <v>88</v>
      </c>
      <c r="G12" s="49">
        <f t="shared" si="0"/>
        <v>862</v>
      </c>
      <c r="H12" s="162">
        <v>26.53</v>
      </c>
      <c r="I12" s="265"/>
      <c r="J12" s="51" t="str">
        <f t="shared" si="1"/>
        <v>I A</v>
      </c>
      <c r="K12" s="52" t="s">
        <v>179</v>
      </c>
      <c r="L12" s="334" t="s">
        <v>108</v>
      </c>
      <c r="M12" s="53">
        <v>3</v>
      </c>
      <c r="N12" s="333">
        <v>4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</row>
    <row r="13" spans="1:244" s="54" customFormat="1" ht="16.350000000000001" customHeight="1">
      <c r="A13" s="43">
        <v>5</v>
      </c>
      <c r="B13" s="44">
        <v>373</v>
      </c>
      <c r="C13" s="160" t="s">
        <v>91</v>
      </c>
      <c r="D13" s="161" t="s">
        <v>454</v>
      </c>
      <c r="E13" s="185" t="s">
        <v>453</v>
      </c>
      <c r="F13" s="48" t="s">
        <v>17</v>
      </c>
      <c r="G13" s="49">
        <f t="shared" si="0"/>
        <v>802</v>
      </c>
      <c r="H13" s="162">
        <v>27.27</v>
      </c>
      <c r="I13" s="265"/>
      <c r="J13" s="51" t="str">
        <f t="shared" si="1"/>
        <v>I A</v>
      </c>
      <c r="K13" s="52" t="s">
        <v>127</v>
      </c>
      <c r="L13" s="334" t="s">
        <v>646</v>
      </c>
      <c r="M13" s="53">
        <v>2</v>
      </c>
      <c r="N13" s="333">
        <v>3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</row>
    <row r="14" spans="1:244" s="54" customFormat="1" ht="16.350000000000001" customHeight="1">
      <c r="A14" s="43">
        <v>6</v>
      </c>
      <c r="B14" s="44">
        <v>305</v>
      </c>
      <c r="C14" s="160" t="s">
        <v>451</v>
      </c>
      <c r="D14" s="161" t="s">
        <v>450</v>
      </c>
      <c r="E14" s="185" t="s">
        <v>135</v>
      </c>
      <c r="F14" s="48" t="s">
        <v>243</v>
      </c>
      <c r="G14" s="49">
        <f t="shared" si="0"/>
        <v>801</v>
      </c>
      <c r="H14" s="162">
        <v>27.29</v>
      </c>
      <c r="I14" s="265"/>
      <c r="J14" s="51" t="str">
        <f t="shared" si="1"/>
        <v>I A</v>
      </c>
      <c r="K14" s="52" t="s">
        <v>449</v>
      </c>
      <c r="L14" s="334" t="s">
        <v>647</v>
      </c>
      <c r="M14" s="53">
        <v>3</v>
      </c>
      <c r="N14" s="333">
        <v>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</row>
    <row r="15" spans="1:244" s="54" customFormat="1" ht="16.350000000000001" customHeight="1">
      <c r="A15" s="43">
        <v>7</v>
      </c>
      <c r="B15" s="44">
        <v>288</v>
      </c>
      <c r="C15" s="160" t="s">
        <v>658</v>
      </c>
      <c r="D15" s="161" t="s">
        <v>657</v>
      </c>
      <c r="E15" s="185" t="s">
        <v>656</v>
      </c>
      <c r="F15" s="48" t="s">
        <v>49</v>
      </c>
      <c r="G15" s="49">
        <f t="shared" si="0"/>
        <v>776</v>
      </c>
      <c r="H15" s="162">
        <v>27.61</v>
      </c>
      <c r="I15" s="265"/>
      <c r="J15" s="51" t="str">
        <f t="shared" si="1"/>
        <v>II A</v>
      </c>
      <c r="K15" s="52" t="s">
        <v>655</v>
      </c>
      <c r="L15" s="334" t="s">
        <v>108</v>
      </c>
      <c r="M15" s="53">
        <v>1</v>
      </c>
      <c r="N15" s="333">
        <v>3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</row>
    <row r="16" spans="1:244" s="54" customFormat="1" ht="16.350000000000001" customHeight="1">
      <c r="A16" s="43">
        <v>8</v>
      </c>
      <c r="B16" s="44">
        <v>356</v>
      </c>
      <c r="C16" s="160" t="s">
        <v>161</v>
      </c>
      <c r="D16" s="161" t="s">
        <v>162</v>
      </c>
      <c r="E16" s="185" t="s">
        <v>163</v>
      </c>
      <c r="F16" s="48" t="s">
        <v>54</v>
      </c>
      <c r="G16" s="49">
        <f t="shared" si="0"/>
        <v>709</v>
      </c>
      <c r="H16" s="162">
        <v>28.49</v>
      </c>
      <c r="I16" s="265"/>
      <c r="J16" s="51" t="str">
        <f t="shared" si="1"/>
        <v>II A</v>
      </c>
      <c r="K16" s="52" t="s">
        <v>79</v>
      </c>
      <c r="L16" s="334" t="s">
        <v>653</v>
      </c>
      <c r="M16" s="53">
        <v>2</v>
      </c>
      <c r="N16" s="333">
        <v>4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</row>
    <row r="17" spans="1:241" s="54" customFormat="1" ht="16.350000000000001" customHeight="1">
      <c r="A17" s="43">
        <v>9</v>
      </c>
      <c r="B17" s="44">
        <v>371</v>
      </c>
      <c r="C17" s="160" t="s">
        <v>25</v>
      </c>
      <c r="D17" s="161" t="s">
        <v>186</v>
      </c>
      <c r="E17" s="185" t="s">
        <v>187</v>
      </c>
      <c r="F17" s="48" t="s">
        <v>184</v>
      </c>
      <c r="G17" s="49">
        <f t="shared" si="0"/>
        <v>621</v>
      </c>
      <c r="H17" s="162">
        <v>29.7</v>
      </c>
      <c r="I17" s="265"/>
      <c r="J17" s="51" t="str">
        <f t="shared" si="1"/>
        <v>III A</v>
      </c>
      <c r="K17" s="52" t="s">
        <v>188</v>
      </c>
      <c r="L17" s="334" t="s">
        <v>108</v>
      </c>
      <c r="M17" s="53">
        <v>1</v>
      </c>
      <c r="N17" s="333">
        <v>4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</row>
    <row r="18" spans="1:241" s="54" customFormat="1" ht="16.350000000000001" customHeight="1">
      <c r="A18" s="43">
        <v>10</v>
      </c>
      <c r="B18" s="44">
        <v>350</v>
      </c>
      <c r="C18" s="160" t="s">
        <v>152</v>
      </c>
      <c r="D18" s="161" t="s">
        <v>153</v>
      </c>
      <c r="E18" s="185" t="s">
        <v>154</v>
      </c>
      <c r="F18" s="48" t="s">
        <v>54</v>
      </c>
      <c r="G18" s="49">
        <f t="shared" si="0"/>
        <v>600</v>
      </c>
      <c r="H18" s="162">
        <v>30.01</v>
      </c>
      <c r="I18" s="265"/>
      <c r="J18" s="51" t="str">
        <f t="shared" si="1"/>
        <v>III A</v>
      </c>
      <c r="K18" s="52" t="s">
        <v>155</v>
      </c>
      <c r="L18" s="334" t="s">
        <v>654</v>
      </c>
      <c r="M18" s="53">
        <v>1</v>
      </c>
      <c r="N18" s="333">
        <v>1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</row>
    <row r="19" spans="1:241" s="54" customFormat="1" ht="16.350000000000001" customHeight="1">
      <c r="A19" s="43">
        <v>11</v>
      </c>
      <c r="B19" s="44">
        <v>365</v>
      </c>
      <c r="C19" s="160" t="s">
        <v>181</v>
      </c>
      <c r="D19" s="161" t="s">
        <v>182</v>
      </c>
      <c r="E19" s="185" t="s">
        <v>183</v>
      </c>
      <c r="F19" s="48" t="s">
        <v>184</v>
      </c>
      <c r="G19" s="49">
        <f t="shared" si="0"/>
        <v>585</v>
      </c>
      <c r="H19" s="162">
        <v>30.22</v>
      </c>
      <c r="I19" s="265"/>
      <c r="J19" s="51" t="str">
        <f t="shared" si="1"/>
        <v>III A</v>
      </c>
      <c r="K19" s="52" t="s">
        <v>127</v>
      </c>
      <c r="L19" s="334" t="s">
        <v>652</v>
      </c>
      <c r="M19" s="53">
        <v>2</v>
      </c>
      <c r="N19" s="333">
        <v>1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</row>
    <row r="20" spans="1:241" s="54" customFormat="1" ht="16.350000000000001" customHeight="1">
      <c r="A20" s="43" t="s">
        <v>23</v>
      </c>
      <c r="B20" s="44">
        <v>300</v>
      </c>
      <c r="C20" s="160" t="s">
        <v>66</v>
      </c>
      <c r="D20" s="161" t="s">
        <v>67</v>
      </c>
      <c r="E20" s="185" t="s">
        <v>68</v>
      </c>
      <c r="F20" s="48" t="s">
        <v>22</v>
      </c>
      <c r="G20" s="49" t="s">
        <v>23</v>
      </c>
      <c r="H20" s="162">
        <v>27.12</v>
      </c>
      <c r="I20" s="265"/>
      <c r="J20" s="51" t="str">
        <f t="shared" si="1"/>
        <v>I A</v>
      </c>
      <c r="K20" s="52" t="s">
        <v>69</v>
      </c>
      <c r="L20" s="334" t="s">
        <v>108</v>
      </c>
      <c r="M20" s="53">
        <v>1</v>
      </c>
      <c r="N20" s="333">
        <v>2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</row>
    <row r="21" spans="1:241" s="54" customFormat="1" ht="16.350000000000001" customHeight="1">
      <c r="A21" s="43" t="s">
        <v>23</v>
      </c>
      <c r="B21" s="44">
        <v>325</v>
      </c>
      <c r="C21" s="160" t="s">
        <v>651</v>
      </c>
      <c r="D21" s="161" t="s">
        <v>650</v>
      </c>
      <c r="E21" s="185" t="s">
        <v>649</v>
      </c>
      <c r="F21" s="48" t="s">
        <v>22</v>
      </c>
      <c r="G21" s="49" t="s">
        <v>23</v>
      </c>
      <c r="H21" s="162">
        <v>27.14</v>
      </c>
      <c r="I21" s="265"/>
      <c r="J21" s="51" t="str">
        <f t="shared" si="1"/>
        <v>I A</v>
      </c>
      <c r="K21" s="52" t="s">
        <v>648</v>
      </c>
      <c r="L21" s="334" t="s">
        <v>108</v>
      </c>
      <c r="M21" s="53">
        <v>2</v>
      </c>
      <c r="N21" s="333">
        <v>2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</row>
    <row r="22" spans="1:241" s="54" customFormat="1" ht="16.350000000000001" customHeight="1">
      <c r="A22" s="43" t="s">
        <v>23</v>
      </c>
      <c r="B22" s="44">
        <v>301</v>
      </c>
      <c r="C22" s="160" t="s">
        <v>14</v>
      </c>
      <c r="D22" s="161" t="s">
        <v>136</v>
      </c>
      <c r="E22" s="185" t="s">
        <v>137</v>
      </c>
      <c r="F22" s="48" t="s">
        <v>138</v>
      </c>
      <c r="G22" s="49" t="s">
        <v>23</v>
      </c>
      <c r="H22" s="162">
        <v>27.56</v>
      </c>
      <c r="I22" s="265"/>
      <c r="J22" s="51" t="str">
        <f t="shared" si="1"/>
        <v>II A</v>
      </c>
      <c r="K22" s="52" t="s">
        <v>139</v>
      </c>
      <c r="L22" s="334" t="s">
        <v>646</v>
      </c>
      <c r="M22" s="53">
        <v>3</v>
      </c>
      <c r="N22" s="333">
        <v>2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1"/>
  <sheetViews>
    <sheetView zoomScaleNormal="100" workbookViewId="0">
      <selection activeCell="A2" sqref="A2"/>
    </sheetView>
  </sheetViews>
  <sheetFormatPr defaultColWidth="8.85546875" defaultRowHeight="12.75"/>
  <cols>
    <col min="1" max="1" width="5.42578125" style="18" customWidth="1"/>
    <col min="2" max="2" width="5" style="18" customWidth="1"/>
    <col min="3" max="3" width="12" style="18" customWidth="1"/>
    <col min="4" max="4" width="16.57031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71" bestFit="1" customWidth="1"/>
    <col min="9" max="9" width="5.140625" style="24" customWidth="1"/>
    <col min="10" max="10" width="25" style="18" customWidth="1"/>
    <col min="11" max="11" width="3.7109375" style="262" hidden="1" customWidth="1"/>
    <col min="12" max="12" width="3.42578125" style="149" hidden="1" customWidth="1"/>
    <col min="13" max="13" width="4.28515625" style="149" hidden="1" customWidth="1"/>
    <col min="14" max="242" width="9.140625" style="18" customWidth="1"/>
    <col min="243" max="16384" width="8.85546875" style="7"/>
  </cols>
  <sheetData>
    <row r="1" spans="1:243" s="2" customFormat="1" ht="18.75">
      <c r="A1" s="1" t="s">
        <v>0</v>
      </c>
      <c r="E1" s="3"/>
      <c r="F1" s="4"/>
      <c r="G1" s="5"/>
      <c r="H1" s="71"/>
      <c r="I1" s="3"/>
      <c r="K1" s="273"/>
      <c r="L1" s="144"/>
      <c r="M1" s="144"/>
      <c r="II1" s="7"/>
    </row>
    <row r="2" spans="1:243" s="2" customFormat="1" ht="13.5" customHeight="1">
      <c r="E2" s="3"/>
      <c r="F2" s="4"/>
      <c r="G2" s="5"/>
      <c r="H2" s="71"/>
      <c r="I2" s="3"/>
      <c r="J2" s="8" t="s">
        <v>1</v>
      </c>
      <c r="K2" s="273"/>
      <c r="L2" s="144"/>
      <c r="M2" s="144"/>
      <c r="II2" s="7"/>
    </row>
    <row r="3" spans="1:243" s="9" customFormat="1" ht="4.5" customHeight="1">
      <c r="C3" s="10"/>
      <c r="E3" s="26"/>
      <c r="F3" s="12"/>
      <c r="G3" s="13"/>
      <c r="H3" s="147"/>
      <c r="I3" s="16"/>
      <c r="J3" s="17"/>
      <c r="K3" s="262"/>
      <c r="L3" s="149"/>
      <c r="M3" s="149"/>
    </row>
    <row r="4" spans="1:243" ht="15.75">
      <c r="C4" s="19" t="s">
        <v>712</v>
      </c>
      <c r="E4" s="20"/>
      <c r="F4" s="21"/>
      <c r="J4" s="25" t="s">
        <v>3</v>
      </c>
    </row>
    <row r="5" spans="1:243" s="9" customFormat="1" ht="4.5" customHeight="1">
      <c r="C5" s="10"/>
      <c r="E5" s="26"/>
      <c r="F5" s="12"/>
      <c r="G5" s="13"/>
      <c r="H5" s="147"/>
      <c r="I5" s="16"/>
      <c r="J5" s="17"/>
      <c r="K5" s="262"/>
      <c r="L5" s="149"/>
      <c r="M5" s="149"/>
    </row>
    <row r="6" spans="1:243" s="9" customFormat="1" ht="12.75" customHeight="1">
      <c r="C6" s="18"/>
      <c r="D6" s="27">
        <v>1</v>
      </c>
      <c r="E6" s="28" t="s">
        <v>444</v>
      </c>
      <c r="F6" s="29"/>
      <c r="G6" s="13"/>
      <c r="H6" s="147"/>
      <c r="I6" s="16"/>
      <c r="J6" s="17"/>
      <c r="K6" s="262"/>
      <c r="L6" s="149"/>
      <c r="M6" s="149"/>
    </row>
    <row r="7" spans="1:243" s="9" customFormat="1" ht="6" customHeight="1">
      <c r="E7" s="30"/>
      <c r="F7" s="31"/>
      <c r="G7" s="13"/>
      <c r="H7" s="153"/>
      <c r="I7" s="16"/>
      <c r="J7" s="17"/>
      <c r="K7" s="262"/>
      <c r="L7" s="149"/>
      <c r="M7" s="149"/>
    </row>
    <row r="8" spans="1:243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</v>
      </c>
      <c r="I8" s="42" t="s">
        <v>12</v>
      </c>
      <c r="J8" s="33" t="s">
        <v>13</v>
      </c>
      <c r="K8" s="262" t="s">
        <v>455</v>
      </c>
      <c r="L8" s="149" t="s">
        <v>104</v>
      </c>
      <c r="M8" s="149" t="s">
        <v>99</v>
      </c>
    </row>
    <row r="9" spans="1:243" s="54" customFormat="1" ht="16.350000000000001" customHeight="1">
      <c r="A9" s="43">
        <v>1</v>
      </c>
      <c r="B9" s="44">
        <v>308</v>
      </c>
      <c r="C9" s="160" t="s">
        <v>587</v>
      </c>
      <c r="D9" s="161" t="s">
        <v>588</v>
      </c>
      <c r="E9" s="185" t="s">
        <v>589</v>
      </c>
      <c r="F9" s="196" t="s">
        <v>243</v>
      </c>
      <c r="G9" s="91">
        <f>IF(ISBLANK(H9),"",TRUNC(5.04*(H9-36)^2))</f>
        <v>659</v>
      </c>
      <c r="H9" s="341">
        <v>24.56</v>
      </c>
      <c r="I9" s="51" t="str">
        <f>IF(ISBLANK(H9),"",IF(H9&gt;27,"",IF(H9&lt;=0,"TSM",IF(H9&lt;=0,"SM",IF(H9&lt;=22.75,"KSM",IF(H9&lt;=23.7,"I A",IF(H9&lt;=25,"II A",IF(H9&lt;=27,"III A"))))))))</f>
        <v>II A</v>
      </c>
      <c r="J9" s="52" t="s">
        <v>590</v>
      </c>
      <c r="K9" s="340" t="s">
        <v>108</v>
      </c>
      <c r="L9" s="263">
        <v>1</v>
      </c>
      <c r="M9" s="263">
        <v>3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</row>
    <row r="10" spans="1:243" s="54" customFormat="1" ht="16.350000000000001" customHeight="1">
      <c r="A10" s="43">
        <v>2</v>
      </c>
      <c r="B10" s="44">
        <v>346</v>
      </c>
      <c r="C10" s="160" t="s">
        <v>354</v>
      </c>
      <c r="D10" s="161" t="s">
        <v>355</v>
      </c>
      <c r="E10" s="185" t="s">
        <v>356</v>
      </c>
      <c r="F10" s="196" t="s">
        <v>54</v>
      </c>
      <c r="G10" s="91">
        <f>IF(ISBLANK(H10),"",TRUNC(5.04*(H10-36)^2))</f>
        <v>652</v>
      </c>
      <c r="H10" s="341">
        <v>24.62</v>
      </c>
      <c r="I10" s="51" t="str">
        <f>IF(ISBLANK(H10),"",IF(H10&gt;27,"",IF(H10&lt;=0,"TSM",IF(H10&lt;=0,"SM",IF(H10&lt;=22.75,"KSM",IF(H10&lt;=23.7,"I A",IF(H10&lt;=25,"II A",IF(H10&lt;=27,"III A"))))))))</f>
        <v>II A</v>
      </c>
      <c r="J10" s="52" t="s">
        <v>344</v>
      </c>
      <c r="K10" s="340" t="s">
        <v>108</v>
      </c>
      <c r="L10" s="263">
        <v>1</v>
      </c>
      <c r="M10" s="263">
        <v>4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</row>
    <row r="11" spans="1:243" s="54" customFormat="1" ht="16.350000000000001" customHeight="1">
      <c r="A11" s="43">
        <v>3</v>
      </c>
      <c r="B11" s="44">
        <v>315</v>
      </c>
      <c r="C11" s="160" t="s">
        <v>240</v>
      </c>
      <c r="D11" s="161" t="s">
        <v>241</v>
      </c>
      <c r="E11" s="185" t="s">
        <v>242</v>
      </c>
      <c r="F11" s="196" t="s">
        <v>243</v>
      </c>
      <c r="G11" s="91">
        <f>IF(ISBLANK(H11),"",TRUNC(5.04*(H11-36)^2))</f>
        <v>541</v>
      </c>
      <c r="H11" s="341">
        <v>25.63</v>
      </c>
      <c r="I11" s="51" t="str">
        <f>IF(ISBLANK(H11),"",IF(H11&gt;27,"",IF(H11&lt;=0,"TSM",IF(H11&lt;=0,"SM",IF(H11&lt;=22.75,"KSM",IF(H11&lt;=23.7,"I A",IF(H11&lt;=25,"II A",IF(H11&lt;=27,"III A"))))))))</f>
        <v>III A</v>
      </c>
      <c r="J11" s="52" t="s">
        <v>244</v>
      </c>
      <c r="K11" s="340" t="s">
        <v>108</v>
      </c>
      <c r="L11" s="263">
        <v>1</v>
      </c>
      <c r="M11" s="263">
        <v>2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</row>
    <row r="12" spans="1:243" s="54" customFormat="1" ht="16.350000000000001" customHeight="1">
      <c r="A12" s="43">
        <v>4</v>
      </c>
      <c r="B12" s="44">
        <v>357</v>
      </c>
      <c r="C12" s="160" t="s">
        <v>489</v>
      </c>
      <c r="D12" s="161" t="s">
        <v>490</v>
      </c>
      <c r="E12" s="185" t="s">
        <v>491</v>
      </c>
      <c r="F12" s="196" t="s">
        <v>54</v>
      </c>
      <c r="G12" s="91">
        <f>IF(ISBLANK(H12),"",TRUNC(5.04*(H12-36)^2))</f>
        <v>466</v>
      </c>
      <c r="H12" s="341">
        <v>26.38</v>
      </c>
      <c r="I12" s="51" t="str">
        <f>IF(ISBLANK(H12),"",IF(H12&gt;27,"",IF(H12&lt;=0,"TSM",IF(H12&lt;=0,"SM",IF(H12&lt;=22.75,"KSM",IF(H12&lt;=23.7,"I A",IF(H12&lt;=25,"II A",IF(H12&lt;=27,"III A"))))))))</f>
        <v>III A</v>
      </c>
      <c r="J12" s="52" t="s">
        <v>79</v>
      </c>
      <c r="K12" s="340" t="s">
        <v>108</v>
      </c>
      <c r="L12" s="263">
        <v>1</v>
      </c>
      <c r="M12" s="263">
        <v>1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</row>
    <row r="13" spans="1:243" s="9" customFormat="1" ht="4.5" customHeight="1">
      <c r="C13" s="10"/>
      <c r="E13" s="26"/>
      <c r="F13" s="12"/>
      <c r="G13" s="13"/>
      <c r="H13" s="147"/>
      <c r="I13" s="16"/>
      <c r="J13" s="17"/>
      <c r="K13" s="262"/>
      <c r="L13" s="149"/>
      <c r="M13" s="149"/>
    </row>
    <row r="14" spans="1:243" s="9" customFormat="1" ht="12.75" customHeight="1">
      <c r="C14" s="18"/>
      <c r="D14" s="27">
        <v>2</v>
      </c>
      <c r="E14" s="28" t="s">
        <v>444</v>
      </c>
      <c r="F14" s="29"/>
      <c r="G14" s="13"/>
      <c r="H14" s="147"/>
      <c r="I14" s="16"/>
      <c r="J14" s="17"/>
      <c r="K14" s="262"/>
      <c r="L14" s="149"/>
      <c r="M14" s="149"/>
    </row>
    <row r="15" spans="1:243" s="9" customFormat="1" ht="6" customHeight="1">
      <c r="E15" s="30"/>
      <c r="F15" s="31"/>
      <c r="G15" s="13"/>
      <c r="H15" s="153"/>
      <c r="I15" s="16"/>
      <c r="J15" s="17"/>
      <c r="K15" s="262"/>
      <c r="L15" s="149"/>
      <c r="M15" s="149"/>
    </row>
    <row r="16" spans="1:243" ht="11.25" customHeight="1">
      <c r="A16" s="33" t="s">
        <v>29</v>
      </c>
      <c r="B16" s="33" t="s">
        <v>4</v>
      </c>
      <c r="C16" s="35" t="s">
        <v>5</v>
      </c>
      <c r="D16" s="36" t="s">
        <v>6</v>
      </c>
      <c r="E16" s="154" t="s">
        <v>7</v>
      </c>
      <c r="F16" s="38" t="s">
        <v>8</v>
      </c>
      <c r="G16" s="39" t="s">
        <v>9</v>
      </c>
      <c r="H16" s="155" t="s">
        <v>10</v>
      </c>
      <c r="I16" s="42" t="s">
        <v>12</v>
      </c>
      <c r="J16" s="33" t="s">
        <v>13</v>
      </c>
      <c r="K16" s="262" t="s">
        <v>455</v>
      </c>
      <c r="L16" s="149" t="s">
        <v>104</v>
      </c>
      <c r="M16" s="149" t="s">
        <v>99</v>
      </c>
    </row>
    <row r="17" spans="1:239" s="54" customFormat="1" ht="16.350000000000001" customHeight="1">
      <c r="A17" s="43" t="s">
        <v>23</v>
      </c>
      <c r="B17" s="44">
        <v>327</v>
      </c>
      <c r="C17" s="160" t="s">
        <v>268</v>
      </c>
      <c r="D17" s="161" t="s">
        <v>496</v>
      </c>
      <c r="E17" s="185" t="s">
        <v>497</v>
      </c>
      <c r="F17" s="196" t="s">
        <v>22</v>
      </c>
      <c r="G17" s="91" t="s">
        <v>23</v>
      </c>
      <c r="H17" s="341">
        <v>24.68</v>
      </c>
      <c r="I17" s="51" t="str">
        <f>IF(ISBLANK(H17),"",IF(H17&gt;27,"",IF(H17&lt;=0,"TSM",IF(H17&lt;=0,"SM",IF(H17&lt;=22.75,"KSM",IF(H17&lt;=23.7,"I A",IF(H17&lt;=25,"II A",IF(H17&lt;=27,"III A"))))))))</f>
        <v>II A</v>
      </c>
      <c r="J17" s="52" t="s">
        <v>160</v>
      </c>
      <c r="K17" s="340" t="s">
        <v>108</v>
      </c>
      <c r="L17" s="263">
        <v>2</v>
      </c>
      <c r="M17" s="263">
        <v>3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</row>
    <row r="18" spans="1:239" s="54" customFormat="1" ht="16.350000000000001" customHeight="1">
      <c r="A18" s="43" t="s">
        <v>23</v>
      </c>
      <c r="B18" s="44">
        <v>230</v>
      </c>
      <c r="C18" s="160" t="s">
        <v>391</v>
      </c>
      <c r="D18" s="161" t="s">
        <v>392</v>
      </c>
      <c r="E18" s="185" t="s">
        <v>393</v>
      </c>
      <c r="F18" s="196" t="s">
        <v>22</v>
      </c>
      <c r="G18" s="91" t="s">
        <v>23</v>
      </c>
      <c r="H18" s="341">
        <v>25.72</v>
      </c>
      <c r="I18" s="51" t="str">
        <f>IF(ISBLANK(H18),"",IF(H18&gt;27,"",IF(H18&lt;=0,"TSM",IF(H18&lt;=0,"SM",IF(H18&lt;=22.75,"KSM",IF(H18&lt;=23.7,"I A",IF(H18&lt;=25,"II A",IF(H18&lt;=27,"III A"))))))))</f>
        <v>III A</v>
      </c>
      <c r="J18" s="52" t="s">
        <v>127</v>
      </c>
      <c r="K18" s="340" t="s">
        <v>108</v>
      </c>
      <c r="L18" s="263">
        <v>2</v>
      </c>
      <c r="M18" s="263">
        <v>2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</row>
    <row r="19" spans="1:239" s="54" customFormat="1" ht="16.350000000000001" customHeight="1">
      <c r="A19" s="43" t="s">
        <v>23</v>
      </c>
      <c r="B19" s="44">
        <v>272</v>
      </c>
      <c r="C19" s="160" t="s">
        <v>394</v>
      </c>
      <c r="D19" s="161" t="s">
        <v>395</v>
      </c>
      <c r="E19" s="185" t="s">
        <v>396</v>
      </c>
      <c r="F19" s="196" t="s">
        <v>22</v>
      </c>
      <c r="G19" s="91" t="s">
        <v>23</v>
      </c>
      <c r="H19" s="341">
        <v>26.35</v>
      </c>
      <c r="I19" s="51" t="str">
        <f>IF(ISBLANK(H19),"",IF(H19&gt;27,"",IF(H19&lt;=0,"TSM",IF(H19&lt;=0,"SM",IF(H19&lt;=22.75,"KSM",IF(H19&lt;=23.7,"I A",IF(H19&lt;=25,"II A",IF(H19&lt;=27,"III A"))))))))</f>
        <v>III A</v>
      </c>
      <c r="J19" s="52" t="s">
        <v>389</v>
      </c>
      <c r="K19" s="340" t="s">
        <v>108</v>
      </c>
      <c r="L19" s="263">
        <v>2</v>
      </c>
      <c r="M19" s="263">
        <v>4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</row>
    <row r="20" spans="1:239" s="9" customFormat="1" ht="4.5" customHeight="1">
      <c r="C20" s="10"/>
      <c r="E20" s="26"/>
      <c r="F20" s="12"/>
      <c r="G20" s="13"/>
      <c r="H20" s="147"/>
      <c r="I20" s="16"/>
      <c r="J20" s="17"/>
      <c r="K20" s="262"/>
      <c r="L20" s="149"/>
      <c r="M20" s="149"/>
    </row>
    <row r="21" spans="1:239" s="9" customFormat="1" ht="12.75" customHeight="1">
      <c r="C21" s="18"/>
      <c r="D21" s="27">
        <v>3</v>
      </c>
      <c r="E21" s="28" t="s">
        <v>444</v>
      </c>
      <c r="F21" s="29"/>
      <c r="G21" s="13"/>
      <c r="H21" s="147"/>
      <c r="I21" s="16"/>
      <c r="J21" s="17"/>
      <c r="K21" s="262"/>
      <c r="L21" s="149"/>
      <c r="M21" s="149"/>
    </row>
    <row r="22" spans="1:239" s="9" customFormat="1" ht="6" customHeight="1">
      <c r="E22" s="30"/>
      <c r="F22" s="31"/>
      <c r="G22" s="13"/>
      <c r="H22" s="153"/>
      <c r="I22" s="16"/>
      <c r="J22" s="17"/>
      <c r="K22" s="262"/>
      <c r="L22" s="149"/>
      <c r="M22" s="149"/>
    </row>
    <row r="23" spans="1:239" ht="11.25" customHeight="1">
      <c r="A23" s="33" t="s">
        <v>29</v>
      </c>
      <c r="B23" s="33" t="s">
        <v>4</v>
      </c>
      <c r="C23" s="35" t="s">
        <v>5</v>
      </c>
      <c r="D23" s="36" t="s">
        <v>6</v>
      </c>
      <c r="E23" s="154" t="s">
        <v>7</v>
      </c>
      <c r="F23" s="38" t="s">
        <v>8</v>
      </c>
      <c r="G23" s="39" t="s">
        <v>9</v>
      </c>
      <c r="H23" s="155" t="s">
        <v>10</v>
      </c>
      <c r="I23" s="42" t="s">
        <v>12</v>
      </c>
      <c r="J23" s="33" t="s">
        <v>13</v>
      </c>
      <c r="K23" s="262" t="s">
        <v>455</v>
      </c>
      <c r="L23" s="149" t="s">
        <v>104</v>
      </c>
      <c r="M23" s="149" t="s">
        <v>99</v>
      </c>
    </row>
    <row r="24" spans="1:239" s="54" customFormat="1" ht="16.350000000000001" customHeight="1">
      <c r="A24" s="43">
        <v>1</v>
      </c>
      <c r="B24" s="44">
        <v>247</v>
      </c>
      <c r="C24" s="160" t="s">
        <v>711</v>
      </c>
      <c r="D24" s="161" t="s">
        <v>710</v>
      </c>
      <c r="E24" s="185" t="s">
        <v>709</v>
      </c>
      <c r="F24" s="196" t="s">
        <v>75</v>
      </c>
      <c r="G24" s="91">
        <f>IF(ISBLANK(H24),"",TRUNC(5.04*(H24-36)^2))</f>
        <v>895</v>
      </c>
      <c r="H24" s="341">
        <v>22.67</v>
      </c>
      <c r="I24" s="51" t="str">
        <f>IF(ISBLANK(H24),"",IF(H24&gt;27,"",IF(H24&lt;=0,"TSM",IF(H24&lt;=0,"SM",IF(H24&lt;=22.75,"KSM",IF(H24&lt;=23.7,"I A",IF(H24&lt;=25,"II A",IF(H24&lt;=27,"III A"))))))))</f>
        <v>KSM</v>
      </c>
      <c r="J24" s="52" t="s">
        <v>708</v>
      </c>
      <c r="K24" s="340" t="s">
        <v>108</v>
      </c>
      <c r="L24" s="263">
        <v>3</v>
      </c>
      <c r="M24" s="263">
        <v>4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</row>
    <row r="25" spans="1:239" s="54" customFormat="1" ht="16.350000000000001" customHeight="1">
      <c r="A25" s="43">
        <v>2</v>
      </c>
      <c r="B25" s="44">
        <v>281</v>
      </c>
      <c r="C25" s="160" t="s">
        <v>237</v>
      </c>
      <c r="D25" s="161" t="s">
        <v>236</v>
      </c>
      <c r="E25" s="185" t="s">
        <v>235</v>
      </c>
      <c r="F25" s="196" t="s">
        <v>49</v>
      </c>
      <c r="G25" s="91">
        <f>IF(ISBLANK(H25),"",TRUNC(5.04*(H25-36)^2))</f>
        <v>781</v>
      </c>
      <c r="H25" s="341">
        <v>23.55</v>
      </c>
      <c r="I25" s="51" t="str">
        <f>IF(ISBLANK(H25),"",IF(H25&gt;27,"",IF(H25&lt;=0,"TSM",IF(H25&lt;=0,"SM",IF(H25&lt;=22.75,"KSM",IF(H25&lt;=23.7,"I A",IF(H25&lt;=25,"II A",IF(H25&lt;=27,"III A"))))))))</f>
        <v>I A</v>
      </c>
      <c r="J25" s="52" t="s">
        <v>234</v>
      </c>
      <c r="K25" s="340" t="s">
        <v>707</v>
      </c>
      <c r="L25" s="263">
        <v>3</v>
      </c>
      <c r="M25" s="263">
        <v>3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</row>
    <row r="26" spans="1:239" s="54" customFormat="1" ht="16.350000000000001" customHeight="1">
      <c r="A26" s="43"/>
      <c r="B26" s="44">
        <v>367</v>
      </c>
      <c r="C26" s="160" t="s">
        <v>268</v>
      </c>
      <c r="D26" s="161" t="s">
        <v>505</v>
      </c>
      <c r="E26" s="185" t="s">
        <v>506</v>
      </c>
      <c r="F26" s="196" t="s">
        <v>184</v>
      </c>
      <c r="G26" s="91"/>
      <c r="H26" s="341" t="s">
        <v>30</v>
      </c>
      <c r="I26" s="51" t="str">
        <f>IF(ISBLANK(H26),"",IF(H26&gt;27,"",IF(H26&lt;=0,"TSM",IF(H26&lt;=0,"SM",IF(H26&lt;=22.75,"KSM",IF(H26&lt;=23.7,"I A",IF(H26&lt;=25,"II A",IF(H26&lt;=27,"III A"))))))))</f>
        <v/>
      </c>
      <c r="J26" s="52" t="s">
        <v>507</v>
      </c>
      <c r="K26" s="340" t="s">
        <v>108</v>
      </c>
      <c r="L26" s="263">
        <v>3</v>
      </c>
      <c r="M26" s="263">
        <v>1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</row>
    <row r="27" spans="1:239" s="54" customFormat="1" ht="16.350000000000001" customHeight="1">
      <c r="A27" s="43"/>
      <c r="B27" s="44">
        <v>329</v>
      </c>
      <c r="C27" s="160" t="s">
        <v>268</v>
      </c>
      <c r="D27" s="161" t="s">
        <v>371</v>
      </c>
      <c r="E27" s="185" t="s">
        <v>372</v>
      </c>
      <c r="F27" s="196" t="s">
        <v>22</v>
      </c>
      <c r="G27" s="91" t="s">
        <v>23</v>
      </c>
      <c r="H27" s="341" t="s">
        <v>30</v>
      </c>
      <c r="I27" s="51" t="str">
        <f>IF(ISBLANK(H27),"",IF(H27&gt;27,"",IF(H27&lt;=0,"TSM",IF(H27&lt;=0,"SM",IF(H27&lt;=22.75,"KSM",IF(H27&lt;=23.7,"I A",IF(H27&lt;=25,"II A",IF(H27&lt;=27,"III A"))))))))</f>
        <v/>
      </c>
      <c r="J27" s="52" t="s">
        <v>373</v>
      </c>
      <c r="K27" s="340" t="s">
        <v>108</v>
      </c>
      <c r="L27" s="263">
        <v>3</v>
      </c>
      <c r="M27" s="263">
        <v>2</v>
      </c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</row>
    <row r="28" spans="1:239" s="9" customFormat="1" ht="4.5" customHeight="1">
      <c r="C28" s="10"/>
      <c r="E28" s="26"/>
      <c r="F28" s="12"/>
      <c r="G28" s="13"/>
      <c r="H28" s="147"/>
      <c r="I28" s="16"/>
      <c r="J28" s="17"/>
      <c r="K28" s="262"/>
      <c r="L28" s="149"/>
      <c r="M28" s="149"/>
    </row>
    <row r="29" spans="1:239" s="9" customFormat="1" ht="12.75" customHeight="1">
      <c r="C29" s="18"/>
      <c r="D29" s="27">
        <v>4</v>
      </c>
      <c r="E29" s="28" t="s">
        <v>444</v>
      </c>
      <c r="F29" s="29"/>
      <c r="G29" s="13"/>
      <c r="H29" s="147"/>
      <c r="I29" s="16"/>
      <c r="J29" s="17"/>
      <c r="K29" s="262"/>
      <c r="L29" s="149"/>
      <c r="M29" s="149"/>
    </row>
    <row r="30" spans="1:239" s="9" customFormat="1" ht="6" customHeight="1">
      <c r="E30" s="30"/>
      <c r="F30" s="31"/>
      <c r="G30" s="13"/>
      <c r="H30" s="153"/>
      <c r="I30" s="16"/>
      <c r="J30" s="17"/>
      <c r="K30" s="262"/>
      <c r="L30" s="149"/>
      <c r="M30" s="149"/>
    </row>
    <row r="31" spans="1:239" ht="11.25" customHeight="1">
      <c r="A31" s="33" t="s">
        <v>29</v>
      </c>
      <c r="B31" s="33" t="s">
        <v>4</v>
      </c>
      <c r="C31" s="35" t="s">
        <v>5</v>
      </c>
      <c r="D31" s="36" t="s">
        <v>6</v>
      </c>
      <c r="E31" s="154" t="s">
        <v>7</v>
      </c>
      <c r="F31" s="38" t="s">
        <v>8</v>
      </c>
      <c r="G31" s="39" t="s">
        <v>9</v>
      </c>
      <c r="H31" s="155" t="s">
        <v>10</v>
      </c>
      <c r="I31" s="42" t="s">
        <v>12</v>
      </c>
      <c r="J31" s="33" t="s">
        <v>13</v>
      </c>
      <c r="K31" s="262" t="s">
        <v>455</v>
      </c>
      <c r="L31" s="149" t="s">
        <v>104</v>
      </c>
      <c r="M31" s="149" t="s">
        <v>99</v>
      </c>
    </row>
    <row r="32" spans="1:239" s="54" customFormat="1" ht="16.350000000000001" customHeight="1">
      <c r="A32" s="43">
        <v>1</v>
      </c>
      <c r="B32" s="44">
        <v>314</v>
      </c>
      <c r="C32" s="160" t="s">
        <v>706</v>
      </c>
      <c r="D32" s="161" t="s">
        <v>705</v>
      </c>
      <c r="E32" s="185" t="s">
        <v>544</v>
      </c>
      <c r="F32" s="196" t="s">
        <v>243</v>
      </c>
      <c r="G32" s="91">
        <f>IF(ISBLANK(H32),"",TRUNC(5.04*(H32-36)^2))</f>
        <v>711</v>
      </c>
      <c r="H32" s="341">
        <v>24.12</v>
      </c>
      <c r="I32" s="51" t="str">
        <f>IF(ISBLANK(H32),"",IF(H32&gt;27,"",IF(H32&lt;=0,"TSM",IF(H32&lt;=0,"SM",IF(H32&lt;=22.75,"KSM",IF(H32&lt;=23.7,"I A",IF(H32&lt;=25,"II A",IF(H32&lt;=27,"III A"))))))))</f>
        <v>II A</v>
      </c>
      <c r="J32" s="52" t="s">
        <v>704</v>
      </c>
      <c r="K32" s="340" t="s">
        <v>703</v>
      </c>
      <c r="L32" s="263">
        <v>4</v>
      </c>
      <c r="M32" s="263">
        <v>2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</row>
    <row r="33" spans="1:239" s="54" customFormat="1" ht="16.350000000000001" customHeight="1">
      <c r="A33" s="43">
        <v>2</v>
      </c>
      <c r="B33" s="44">
        <v>303</v>
      </c>
      <c r="C33" s="160" t="s">
        <v>405</v>
      </c>
      <c r="D33" s="161" t="s">
        <v>406</v>
      </c>
      <c r="E33" s="185" t="s">
        <v>407</v>
      </c>
      <c r="F33" s="196" t="s">
        <v>138</v>
      </c>
      <c r="G33" s="91" t="s">
        <v>23</v>
      </c>
      <c r="H33" s="341">
        <v>24.51</v>
      </c>
      <c r="I33" s="51" t="str">
        <f>IF(ISBLANK(H33),"",IF(H33&gt;27,"",IF(H33&lt;=0,"TSM",IF(H33&lt;=0,"SM",IF(H33&lt;=22.75,"KSM",IF(H33&lt;=23.7,"I A",IF(H33&lt;=25,"II A",IF(H33&lt;=27,"III A"))))))))</f>
        <v>II A</v>
      </c>
      <c r="J33" s="52" t="s">
        <v>408</v>
      </c>
      <c r="K33" s="340" t="s">
        <v>702</v>
      </c>
      <c r="L33" s="263">
        <v>4</v>
      </c>
      <c r="M33" s="263">
        <v>3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</row>
    <row r="34" spans="1:239" s="54" customFormat="1" ht="16.350000000000001" customHeight="1">
      <c r="A34" s="43"/>
      <c r="B34" s="44">
        <v>361</v>
      </c>
      <c r="C34" s="160" t="s">
        <v>326</v>
      </c>
      <c r="D34" s="161" t="s">
        <v>327</v>
      </c>
      <c r="E34" s="185" t="s">
        <v>328</v>
      </c>
      <c r="F34" s="196" t="s">
        <v>54</v>
      </c>
      <c r="G34" s="91"/>
      <c r="H34" s="341" t="s">
        <v>30</v>
      </c>
      <c r="I34" s="51" t="str">
        <f>IF(ISBLANK(H34),"",IF(H34&gt;27,"",IF(H34&lt;=0,"TSM",IF(H34&lt;=0,"SM",IF(H34&lt;=22.75,"KSM",IF(H34&lt;=23.7,"I A",IF(H34&lt;=25,"II A",IF(H34&lt;=27,"III A"))))))))</f>
        <v/>
      </c>
      <c r="J34" s="52" t="s">
        <v>329</v>
      </c>
      <c r="K34" s="340" t="s">
        <v>108</v>
      </c>
      <c r="L34" s="263">
        <v>4</v>
      </c>
      <c r="M34" s="263">
        <v>4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</row>
    <row r="35" spans="1:239" s="9" customFormat="1" ht="4.5" customHeight="1">
      <c r="C35" s="10"/>
      <c r="E35" s="26"/>
      <c r="F35" s="12"/>
      <c r="G35" s="13"/>
      <c r="H35" s="147"/>
      <c r="I35" s="16"/>
      <c r="J35" s="17"/>
      <c r="K35" s="262"/>
      <c r="L35" s="149"/>
      <c r="M35" s="149"/>
    </row>
    <row r="36" spans="1:239" s="9" customFormat="1" ht="12.75" customHeight="1">
      <c r="C36" s="18"/>
      <c r="D36" s="27">
        <v>5</v>
      </c>
      <c r="E36" s="28" t="s">
        <v>444</v>
      </c>
      <c r="F36" s="29"/>
      <c r="G36" s="13"/>
      <c r="H36" s="147"/>
      <c r="I36" s="16"/>
      <c r="J36" s="17"/>
      <c r="K36" s="262"/>
      <c r="L36" s="149"/>
      <c r="M36" s="149"/>
    </row>
    <row r="37" spans="1:239" s="9" customFormat="1" ht="6" customHeight="1">
      <c r="E37" s="30"/>
      <c r="F37" s="31"/>
      <c r="G37" s="13"/>
      <c r="H37" s="153"/>
      <c r="I37" s="16"/>
      <c r="J37" s="17"/>
      <c r="K37" s="262"/>
      <c r="L37" s="149"/>
      <c r="M37" s="149"/>
    </row>
    <row r="38" spans="1:239" ht="11.25" customHeight="1">
      <c r="A38" s="33" t="s">
        <v>29</v>
      </c>
      <c r="B38" s="33" t="s">
        <v>4</v>
      </c>
      <c r="C38" s="35" t="s">
        <v>5</v>
      </c>
      <c r="D38" s="36" t="s">
        <v>6</v>
      </c>
      <c r="E38" s="154" t="s">
        <v>7</v>
      </c>
      <c r="F38" s="38" t="s">
        <v>8</v>
      </c>
      <c r="G38" s="39" t="s">
        <v>9</v>
      </c>
      <c r="H38" s="155" t="s">
        <v>10</v>
      </c>
      <c r="I38" s="42" t="s">
        <v>12</v>
      </c>
      <c r="J38" s="33" t="s">
        <v>13</v>
      </c>
      <c r="K38" s="262" t="s">
        <v>455</v>
      </c>
      <c r="L38" s="149" t="s">
        <v>104</v>
      </c>
      <c r="M38" s="149" t="s">
        <v>99</v>
      </c>
    </row>
    <row r="39" spans="1:239" s="54" customFormat="1" ht="16.350000000000001" customHeight="1">
      <c r="A39" s="43">
        <v>1</v>
      </c>
      <c r="B39" s="44">
        <v>391</v>
      </c>
      <c r="C39" s="160" t="s">
        <v>317</v>
      </c>
      <c r="D39" s="161" t="s">
        <v>318</v>
      </c>
      <c r="E39" s="185" t="s">
        <v>319</v>
      </c>
      <c r="F39" s="196" t="s">
        <v>17</v>
      </c>
      <c r="G39" s="91">
        <f>IF(ISBLANK(H39),"",TRUNC(5.04*(H39-36)^2))</f>
        <v>781</v>
      </c>
      <c r="H39" s="341">
        <v>23.55</v>
      </c>
      <c r="I39" s="51" t="str">
        <f>IF(ISBLANK(H39),"",IF(H39&gt;27,"",IF(H39&lt;=0,"TSM",IF(H39&lt;=0,"SM",IF(H39&lt;=22.75,"KSM",IF(H39&lt;=23.7,"I A",IF(H39&lt;=25,"II A",IF(H39&lt;=27,"III A"))))))))</f>
        <v>I A</v>
      </c>
      <c r="J39" s="52" t="s">
        <v>320</v>
      </c>
      <c r="K39" s="340" t="s">
        <v>108</v>
      </c>
      <c r="L39" s="263">
        <v>5</v>
      </c>
      <c r="M39" s="263">
        <v>3</v>
      </c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</row>
    <row r="40" spans="1:239" s="54" customFormat="1" ht="16.350000000000001" customHeight="1">
      <c r="A40" s="43"/>
      <c r="B40" s="44">
        <v>311</v>
      </c>
      <c r="C40" s="160" t="s">
        <v>312</v>
      </c>
      <c r="D40" s="161" t="s">
        <v>313</v>
      </c>
      <c r="E40" s="185" t="s">
        <v>314</v>
      </c>
      <c r="F40" s="196" t="s">
        <v>243</v>
      </c>
      <c r="G40" s="91"/>
      <c r="H40" s="341" t="s">
        <v>701</v>
      </c>
      <c r="I40" s="51" t="str">
        <f>IF(ISBLANK(H40),"",IF(H40&gt;27,"",IF(H40&lt;=0,"TSM",IF(H40&lt;=0,"SM",IF(H40&lt;=22.75,"KSM",IF(H40&lt;=23.7,"I A",IF(H40&lt;=25,"II A",IF(H40&lt;=27,"III A"))))))))</f>
        <v/>
      </c>
      <c r="J40" s="52" t="s">
        <v>315</v>
      </c>
      <c r="K40" s="340" t="s">
        <v>108</v>
      </c>
      <c r="L40" s="263">
        <v>5</v>
      </c>
      <c r="M40" s="263">
        <v>4</v>
      </c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</row>
    <row r="41" spans="1:239" s="54" customFormat="1" ht="16.350000000000001" customHeight="1">
      <c r="A41" s="43"/>
      <c r="B41" s="44">
        <v>313</v>
      </c>
      <c r="C41" s="160" t="s">
        <v>237</v>
      </c>
      <c r="D41" s="161" t="s">
        <v>577</v>
      </c>
      <c r="E41" s="185" t="s">
        <v>578</v>
      </c>
      <c r="F41" s="196" t="s">
        <v>243</v>
      </c>
      <c r="G41" s="91"/>
      <c r="H41" s="341" t="s">
        <v>30</v>
      </c>
      <c r="I41" s="51" t="str">
        <f>IF(ISBLANK(H41),"",IF(H41&gt;27,"",IF(H41&lt;=0,"TSM",IF(H41&lt;=0,"SM",IF(H41&lt;=22.75,"KSM",IF(H41&lt;=23.7,"I A",IF(H41&lt;=25,"II A",IF(H41&lt;=27,"III A"))))))))</f>
        <v/>
      </c>
      <c r="J41" s="52" t="s">
        <v>579</v>
      </c>
      <c r="K41" s="340" t="s">
        <v>108</v>
      </c>
      <c r="L41" s="263">
        <v>5</v>
      </c>
      <c r="M41" s="263">
        <v>2</v>
      </c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J25"/>
  <sheetViews>
    <sheetView zoomScaleNormal="100" workbookViewId="0">
      <selection activeCell="A2" sqref="A2"/>
    </sheetView>
  </sheetViews>
  <sheetFormatPr defaultColWidth="8.85546875" defaultRowHeight="12.75"/>
  <cols>
    <col min="1" max="1" width="5.42578125" style="18" customWidth="1"/>
    <col min="2" max="2" width="5" style="18" customWidth="1"/>
    <col min="3" max="3" width="12" style="18" customWidth="1"/>
    <col min="4" max="4" width="16.5703125" style="18" customWidth="1"/>
    <col min="5" max="5" width="9.5703125" style="55" customWidth="1"/>
    <col min="6" max="6" width="10.85546875" style="56" customWidth="1"/>
    <col min="7" max="7" width="6.42578125" style="22" customWidth="1"/>
    <col min="8" max="8" width="9" style="71" bestFit="1" customWidth="1"/>
    <col min="9" max="9" width="4.140625" style="143" customWidth="1"/>
    <col min="10" max="10" width="5.140625" style="24" customWidth="1"/>
    <col min="11" max="11" width="25" style="18" customWidth="1"/>
    <col min="12" max="12" width="3.7109375" style="262" hidden="1" customWidth="1"/>
    <col min="13" max="13" width="3.42578125" style="149" hidden="1" customWidth="1"/>
    <col min="14" max="14" width="4.28515625" style="149" hidden="1" customWidth="1"/>
    <col min="15" max="243" width="9.140625" style="18" customWidth="1"/>
    <col min="244" max="16384" width="8.85546875" style="7"/>
  </cols>
  <sheetData>
    <row r="1" spans="1:244" s="2" customFormat="1" ht="18.75">
      <c r="A1" s="1" t="s">
        <v>0</v>
      </c>
      <c r="E1" s="3"/>
      <c r="F1" s="4"/>
      <c r="G1" s="5"/>
      <c r="H1" s="71"/>
      <c r="I1" s="143"/>
      <c r="J1" s="3"/>
      <c r="L1" s="273"/>
      <c r="M1" s="144"/>
      <c r="N1" s="144"/>
      <c r="IJ1" s="7"/>
    </row>
    <row r="2" spans="1:244" s="2" customFormat="1" ht="13.5" customHeight="1">
      <c r="E2" s="3"/>
      <c r="F2" s="4"/>
      <c r="G2" s="5"/>
      <c r="H2" s="71"/>
      <c r="I2" s="143"/>
      <c r="J2" s="3"/>
      <c r="K2" s="8" t="s">
        <v>1</v>
      </c>
      <c r="L2" s="273"/>
      <c r="M2" s="144"/>
      <c r="N2" s="144"/>
      <c r="IJ2" s="7"/>
    </row>
    <row r="3" spans="1:244" s="9" customFormat="1" ht="4.5" customHeight="1">
      <c r="C3" s="10"/>
      <c r="E3" s="26"/>
      <c r="F3" s="12"/>
      <c r="G3" s="13"/>
      <c r="H3" s="147"/>
      <c r="I3" s="148"/>
      <c r="J3" s="16"/>
      <c r="K3" s="17"/>
      <c r="L3" s="262"/>
      <c r="M3" s="149"/>
      <c r="N3" s="149"/>
    </row>
    <row r="4" spans="1:244" ht="15.75">
      <c r="C4" s="19" t="s">
        <v>712</v>
      </c>
      <c r="E4" s="20"/>
      <c r="F4" s="21"/>
      <c r="K4" s="25" t="s">
        <v>3</v>
      </c>
    </row>
    <row r="5" spans="1:244" s="9" customFormat="1" ht="4.5" customHeight="1">
      <c r="C5" s="10"/>
      <c r="E5" s="26"/>
      <c r="F5" s="12"/>
      <c r="G5" s="13"/>
      <c r="H5" s="147"/>
      <c r="I5" s="148"/>
      <c r="J5" s="16"/>
      <c r="K5" s="17"/>
      <c r="L5" s="262"/>
      <c r="M5" s="149"/>
      <c r="N5" s="149"/>
    </row>
    <row r="6" spans="1:244" s="9" customFormat="1" ht="12.75" customHeight="1">
      <c r="C6" s="18"/>
      <c r="D6" s="27"/>
      <c r="E6" s="28" t="s">
        <v>445</v>
      </c>
      <c r="F6" s="29"/>
      <c r="G6" s="13"/>
      <c r="H6" s="147"/>
      <c r="I6" s="148"/>
      <c r="J6" s="16"/>
      <c r="K6" s="17"/>
      <c r="L6" s="262"/>
      <c r="M6" s="149"/>
      <c r="N6" s="149"/>
    </row>
    <row r="7" spans="1:244" s="9" customFormat="1" ht="6" customHeight="1">
      <c r="E7" s="30"/>
      <c r="F7" s="31"/>
      <c r="G7" s="13"/>
      <c r="H7" s="153"/>
      <c r="I7" s="148"/>
      <c r="J7" s="16"/>
      <c r="K7" s="17"/>
      <c r="L7" s="262"/>
      <c r="M7" s="149"/>
      <c r="N7" s="149"/>
    </row>
    <row r="8" spans="1:244" ht="11.25" customHeight="1">
      <c r="A8" s="33" t="s">
        <v>29</v>
      </c>
      <c r="B8" s="33" t="s">
        <v>4</v>
      </c>
      <c r="C8" s="35" t="s">
        <v>5</v>
      </c>
      <c r="D8" s="36" t="s">
        <v>6</v>
      </c>
      <c r="E8" s="154" t="s">
        <v>7</v>
      </c>
      <c r="F8" s="38" t="s">
        <v>8</v>
      </c>
      <c r="G8" s="39" t="s">
        <v>9</v>
      </c>
      <c r="H8" s="155" t="s">
        <v>10</v>
      </c>
      <c r="I8" s="156" t="s">
        <v>101</v>
      </c>
      <c r="J8" s="42" t="s">
        <v>12</v>
      </c>
      <c r="K8" s="33" t="s">
        <v>13</v>
      </c>
      <c r="L8" s="262" t="s">
        <v>455</v>
      </c>
      <c r="M8" s="149" t="s">
        <v>104</v>
      </c>
      <c r="N8" s="149" t="s">
        <v>99</v>
      </c>
    </row>
    <row r="9" spans="1:244" s="54" customFormat="1" ht="16.350000000000001" customHeight="1">
      <c r="A9" s="43">
        <v>1</v>
      </c>
      <c r="B9" s="44">
        <v>247</v>
      </c>
      <c r="C9" s="160" t="s">
        <v>711</v>
      </c>
      <c r="D9" s="161" t="s">
        <v>710</v>
      </c>
      <c r="E9" s="185" t="s">
        <v>709</v>
      </c>
      <c r="F9" s="196" t="s">
        <v>75</v>
      </c>
      <c r="G9" s="91">
        <f t="shared" ref="G9:G16" si="0">IF(ISBLANK(H9),"",TRUNC(5.04*(H9-36)^2))</f>
        <v>895</v>
      </c>
      <c r="H9" s="341">
        <v>22.67</v>
      </c>
      <c r="I9" s="195"/>
      <c r="J9" s="51" t="str">
        <f t="shared" ref="J9:J25" si="1">IF(ISBLANK(H9),"",IF(H9&gt;27,"",IF(H9&lt;=0,"TSM",IF(H9&lt;=0,"SM",IF(H9&lt;=22.75,"KSM",IF(H9&lt;=23.7,"I A",IF(H9&lt;=25,"II A",IF(H9&lt;=27,"III A"))))))))</f>
        <v>KSM</v>
      </c>
      <c r="K9" s="52" t="s">
        <v>708</v>
      </c>
      <c r="L9" s="340" t="s">
        <v>108</v>
      </c>
      <c r="M9" s="263">
        <v>4</v>
      </c>
      <c r="N9" s="263">
        <v>2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</row>
    <row r="10" spans="1:244" s="54" customFormat="1" ht="16.350000000000001" customHeight="1">
      <c r="A10" s="43">
        <v>2</v>
      </c>
      <c r="B10" s="44">
        <v>391</v>
      </c>
      <c r="C10" s="160" t="s">
        <v>317</v>
      </c>
      <c r="D10" s="161" t="s">
        <v>318</v>
      </c>
      <c r="E10" s="185" t="s">
        <v>319</v>
      </c>
      <c r="F10" s="196" t="s">
        <v>17</v>
      </c>
      <c r="G10" s="91">
        <f t="shared" si="0"/>
        <v>781</v>
      </c>
      <c r="H10" s="341">
        <v>23.55</v>
      </c>
      <c r="I10" s="195"/>
      <c r="J10" s="51" t="str">
        <f t="shared" si="1"/>
        <v>I A</v>
      </c>
      <c r="K10" s="52" t="s">
        <v>320</v>
      </c>
      <c r="L10" s="340" t="s">
        <v>108</v>
      </c>
      <c r="M10" s="263">
        <v>6</v>
      </c>
      <c r="N10" s="263">
        <v>3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</row>
    <row r="11" spans="1:244" s="54" customFormat="1" ht="16.350000000000001" customHeight="1">
      <c r="A11" s="43">
        <v>2</v>
      </c>
      <c r="B11" s="44">
        <v>281</v>
      </c>
      <c r="C11" s="160" t="s">
        <v>237</v>
      </c>
      <c r="D11" s="161" t="s">
        <v>236</v>
      </c>
      <c r="E11" s="185" t="s">
        <v>235</v>
      </c>
      <c r="F11" s="196" t="s">
        <v>49</v>
      </c>
      <c r="G11" s="91">
        <f t="shared" si="0"/>
        <v>781</v>
      </c>
      <c r="H11" s="341">
        <v>23.55</v>
      </c>
      <c r="I11" s="195"/>
      <c r="J11" s="51" t="str">
        <f t="shared" si="1"/>
        <v>I A</v>
      </c>
      <c r="K11" s="52" t="s">
        <v>234</v>
      </c>
      <c r="L11" s="340" t="s">
        <v>707</v>
      </c>
      <c r="M11" s="263">
        <v>6</v>
      </c>
      <c r="N11" s="263">
        <v>2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</row>
    <row r="12" spans="1:244" s="54" customFormat="1" ht="16.350000000000001" customHeight="1">
      <c r="A12" s="43">
        <v>4</v>
      </c>
      <c r="B12" s="44">
        <v>314</v>
      </c>
      <c r="C12" s="160" t="s">
        <v>706</v>
      </c>
      <c r="D12" s="161" t="s">
        <v>705</v>
      </c>
      <c r="E12" s="185" t="s">
        <v>544</v>
      </c>
      <c r="F12" s="196" t="s">
        <v>243</v>
      </c>
      <c r="G12" s="91">
        <f t="shared" si="0"/>
        <v>711</v>
      </c>
      <c r="H12" s="341">
        <v>24.12</v>
      </c>
      <c r="I12" s="195"/>
      <c r="J12" s="51" t="str">
        <f t="shared" si="1"/>
        <v>II A</v>
      </c>
      <c r="K12" s="52" t="s">
        <v>704</v>
      </c>
      <c r="L12" s="340" t="s">
        <v>703</v>
      </c>
      <c r="M12" s="263">
        <v>5</v>
      </c>
      <c r="N12" s="263">
        <v>2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</row>
    <row r="13" spans="1:244" s="54" customFormat="1" ht="16.350000000000001" customHeight="1">
      <c r="A13" s="43">
        <v>5</v>
      </c>
      <c r="B13" s="44">
        <v>308</v>
      </c>
      <c r="C13" s="160" t="s">
        <v>587</v>
      </c>
      <c r="D13" s="161" t="s">
        <v>588</v>
      </c>
      <c r="E13" s="185" t="s">
        <v>589</v>
      </c>
      <c r="F13" s="196" t="s">
        <v>243</v>
      </c>
      <c r="G13" s="91">
        <f t="shared" si="0"/>
        <v>659</v>
      </c>
      <c r="H13" s="341">
        <v>24.56</v>
      </c>
      <c r="I13" s="195"/>
      <c r="J13" s="51" t="str">
        <f t="shared" si="1"/>
        <v>II A</v>
      </c>
      <c r="K13" s="52" t="s">
        <v>590</v>
      </c>
      <c r="L13" s="340" t="s">
        <v>108</v>
      </c>
      <c r="M13" s="263">
        <v>2</v>
      </c>
      <c r="N13" s="263">
        <v>4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</row>
    <row r="14" spans="1:244" s="54" customFormat="1" ht="16.350000000000001" customHeight="1">
      <c r="A14" s="43">
        <v>6</v>
      </c>
      <c r="B14" s="44">
        <v>346</v>
      </c>
      <c r="C14" s="160" t="s">
        <v>354</v>
      </c>
      <c r="D14" s="161" t="s">
        <v>355</v>
      </c>
      <c r="E14" s="185" t="s">
        <v>356</v>
      </c>
      <c r="F14" s="196" t="s">
        <v>54</v>
      </c>
      <c r="G14" s="91">
        <f t="shared" si="0"/>
        <v>652</v>
      </c>
      <c r="H14" s="341">
        <v>24.62</v>
      </c>
      <c r="I14" s="195"/>
      <c r="J14" s="51" t="str">
        <f t="shared" si="1"/>
        <v>II A</v>
      </c>
      <c r="K14" s="52" t="s">
        <v>344</v>
      </c>
      <c r="L14" s="340" t="s">
        <v>108</v>
      </c>
      <c r="M14" s="263">
        <v>1</v>
      </c>
      <c r="N14" s="263">
        <v>4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</row>
    <row r="15" spans="1:244" s="54" customFormat="1" ht="16.350000000000001" customHeight="1">
      <c r="A15" s="43">
        <v>7</v>
      </c>
      <c r="B15" s="44">
        <v>315</v>
      </c>
      <c r="C15" s="160" t="s">
        <v>240</v>
      </c>
      <c r="D15" s="161" t="s">
        <v>241</v>
      </c>
      <c r="E15" s="185" t="s">
        <v>242</v>
      </c>
      <c r="F15" s="196" t="s">
        <v>243</v>
      </c>
      <c r="G15" s="91">
        <f t="shared" si="0"/>
        <v>541</v>
      </c>
      <c r="H15" s="341">
        <v>25.63</v>
      </c>
      <c r="I15" s="195"/>
      <c r="J15" s="51" t="str">
        <f t="shared" si="1"/>
        <v>III A</v>
      </c>
      <c r="K15" s="52" t="s">
        <v>244</v>
      </c>
      <c r="L15" s="340" t="s">
        <v>108</v>
      </c>
      <c r="M15" s="263">
        <v>1</v>
      </c>
      <c r="N15" s="263">
        <v>2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</row>
    <row r="16" spans="1:244" s="54" customFormat="1" ht="16.350000000000001" customHeight="1">
      <c r="A16" s="43">
        <v>8</v>
      </c>
      <c r="B16" s="44">
        <v>357</v>
      </c>
      <c r="C16" s="160" t="s">
        <v>489</v>
      </c>
      <c r="D16" s="161" t="s">
        <v>490</v>
      </c>
      <c r="E16" s="185" t="s">
        <v>491</v>
      </c>
      <c r="F16" s="196" t="s">
        <v>54</v>
      </c>
      <c r="G16" s="91">
        <f t="shared" si="0"/>
        <v>466</v>
      </c>
      <c r="H16" s="341">
        <v>26.38</v>
      </c>
      <c r="I16" s="195"/>
      <c r="J16" s="51" t="str">
        <f t="shared" si="1"/>
        <v>III A</v>
      </c>
      <c r="K16" s="52" t="s">
        <v>79</v>
      </c>
      <c r="L16" s="340" t="s">
        <v>108</v>
      </c>
      <c r="M16" s="263">
        <v>2</v>
      </c>
      <c r="N16" s="263">
        <v>2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</row>
    <row r="17" spans="1:240" s="54" customFormat="1" ht="16.350000000000001" customHeight="1">
      <c r="A17" s="43" t="s">
        <v>23</v>
      </c>
      <c r="B17" s="44">
        <v>303</v>
      </c>
      <c r="C17" s="160" t="s">
        <v>405</v>
      </c>
      <c r="D17" s="161" t="s">
        <v>406</v>
      </c>
      <c r="E17" s="185" t="s">
        <v>407</v>
      </c>
      <c r="F17" s="196" t="s">
        <v>138</v>
      </c>
      <c r="G17" s="91" t="s">
        <v>23</v>
      </c>
      <c r="H17" s="341">
        <v>24.51</v>
      </c>
      <c r="I17" s="195"/>
      <c r="J17" s="51" t="str">
        <f t="shared" si="1"/>
        <v>II A</v>
      </c>
      <c r="K17" s="52" t="s">
        <v>408</v>
      </c>
      <c r="L17" s="340" t="s">
        <v>702</v>
      </c>
      <c r="M17" s="263">
        <v>5</v>
      </c>
      <c r="N17" s="263">
        <v>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</row>
    <row r="18" spans="1:240" s="54" customFormat="1" ht="16.350000000000001" customHeight="1">
      <c r="A18" s="43" t="s">
        <v>23</v>
      </c>
      <c r="B18" s="44">
        <v>327</v>
      </c>
      <c r="C18" s="160" t="s">
        <v>268</v>
      </c>
      <c r="D18" s="161" t="s">
        <v>496</v>
      </c>
      <c r="E18" s="185" t="s">
        <v>497</v>
      </c>
      <c r="F18" s="196" t="s">
        <v>22</v>
      </c>
      <c r="G18" s="91" t="s">
        <v>23</v>
      </c>
      <c r="H18" s="341">
        <v>24.68</v>
      </c>
      <c r="I18" s="195"/>
      <c r="J18" s="51" t="str">
        <f t="shared" si="1"/>
        <v>II A</v>
      </c>
      <c r="K18" s="52" t="s">
        <v>160</v>
      </c>
      <c r="L18" s="340" t="s">
        <v>108</v>
      </c>
      <c r="M18" s="263">
        <v>3</v>
      </c>
      <c r="N18" s="263">
        <v>3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</row>
    <row r="19" spans="1:240" s="54" customFormat="1" ht="16.350000000000001" customHeight="1">
      <c r="A19" s="43" t="s">
        <v>23</v>
      </c>
      <c r="B19" s="44">
        <v>230</v>
      </c>
      <c r="C19" s="160" t="s">
        <v>391</v>
      </c>
      <c r="D19" s="161" t="s">
        <v>392</v>
      </c>
      <c r="E19" s="185" t="s">
        <v>393</v>
      </c>
      <c r="F19" s="196" t="s">
        <v>22</v>
      </c>
      <c r="G19" s="91" t="s">
        <v>23</v>
      </c>
      <c r="H19" s="341">
        <v>25.72</v>
      </c>
      <c r="I19" s="195"/>
      <c r="J19" s="51" t="str">
        <f t="shared" si="1"/>
        <v>III A</v>
      </c>
      <c r="K19" s="52" t="s">
        <v>127</v>
      </c>
      <c r="L19" s="340" t="s">
        <v>108</v>
      </c>
      <c r="M19" s="263">
        <v>3</v>
      </c>
      <c r="N19" s="263">
        <v>2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</row>
    <row r="20" spans="1:240" s="54" customFormat="1" ht="16.350000000000001" customHeight="1">
      <c r="A20" s="43" t="s">
        <v>23</v>
      </c>
      <c r="B20" s="44">
        <v>272</v>
      </c>
      <c r="C20" s="160" t="s">
        <v>394</v>
      </c>
      <c r="D20" s="161" t="s">
        <v>395</v>
      </c>
      <c r="E20" s="185" t="s">
        <v>396</v>
      </c>
      <c r="F20" s="196" t="s">
        <v>22</v>
      </c>
      <c r="G20" s="91" t="s">
        <v>23</v>
      </c>
      <c r="H20" s="341">
        <v>26.35</v>
      </c>
      <c r="I20" s="195"/>
      <c r="J20" s="51" t="str">
        <f t="shared" si="1"/>
        <v>III A</v>
      </c>
      <c r="K20" s="52" t="s">
        <v>389</v>
      </c>
      <c r="L20" s="340" t="s">
        <v>108</v>
      </c>
      <c r="M20" s="263">
        <v>3</v>
      </c>
      <c r="N20" s="263">
        <v>4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</row>
    <row r="21" spans="1:240" s="54" customFormat="1" ht="16.350000000000001" customHeight="1">
      <c r="A21" s="43"/>
      <c r="B21" s="44">
        <v>311</v>
      </c>
      <c r="C21" s="160" t="s">
        <v>312</v>
      </c>
      <c r="D21" s="161" t="s">
        <v>313</v>
      </c>
      <c r="E21" s="185" t="s">
        <v>314</v>
      </c>
      <c r="F21" s="196" t="s">
        <v>243</v>
      </c>
      <c r="G21" s="91"/>
      <c r="H21" s="341" t="s">
        <v>701</v>
      </c>
      <c r="I21" s="195"/>
      <c r="J21" s="51" t="str">
        <f t="shared" si="1"/>
        <v/>
      </c>
      <c r="K21" s="52" t="s">
        <v>315</v>
      </c>
      <c r="L21" s="340" t="s">
        <v>108</v>
      </c>
      <c r="M21" s="263">
        <v>6</v>
      </c>
      <c r="N21" s="263">
        <v>4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</row>
    <row r="22" spans="1:240" s="54" customFormat="1" ht="16.350000000000001" customHeight="1">
      <c r="A22" s="43"/>
      <c r="B22" s="44">
        <v>313</v>
      </c>
      <c r="C22" s="160" t="s">
        <v>237</v>
      </c>
      <c r="D22" s="161" t="s">
        <v>577</v>
      </c>
      <c r="E22" s="185" t="s">
        <v>578</v>
      </c>
      <c r="F22" s="196" t="s">
        <v>243</v>
      </c>
      <c r="G22" s="91"/>
      <c r="H22" s="341" t="s">
        <v>30</v>
      </c>
      <c r="I22" s="195"/>
      <c r="J22" s="51" t="str">
        <f t="shared" si="1"/>
        <v/>
      </c>
      <c r="K22" s="52" t="s">
        <v>579</v>
      </c>
      <c r="L22" s="340" t="s">
        <v>108</v>
      </c>
      <c r="M22" s="263">
        <v>4</v>
      </c>
      <c r="N22" s="263">
        <v>3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</row>
    <row r="23" spans="1:240" s="54" customFormat="1" ht="16.350000000000001" customHeight="1">
      <c r="A23" s="43"/>
      <c r="B23" s="44">
        <v>367</v>
      </c>
      <c r="C23" s="160" t="s">
        <v>268</v>
      </c>
      <c r="D23" s="161" t="s">
        <v>505</v>
      </c>
      <c r="E23" s="185" t="s">
        <v>506</v>
      </c>
      <c r="F23" s="196" t="s">
        <v>184</v>
      </c>
      <c r="G23" s="91"/>
      <c r="H23" s="341" t="s">
        <v>30</v>
      </c>
      <c r="I23" s="195"/>
      <c r="J23" s="51" t="str">
        <f t="shared" si="1"/>
        <v/>
      </c>
      <c r="K23" s="52" t="s">
        <v>507</v>
      </c>
      <c r="L23" s="340" t="s">
        <v>108</v>
      </c>
      <c r="M23" s="263">
        <v>4</v>
      </c>
      <c r="N23" s="263">
        <v>1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</row>
    <row r="24" spans="1:240" s="54" customFormat="1" ht="16.350000000000001" customHeight="1">
      <c r="A24" s="43"/>
      <c r="B24" s="44">
        <v>361</v>
      </c>
      <c r="C24" s="160" t="s">
        <v>326</v>
      </c>
      <c r="D24" s="161" t="s">
        <v>327</v>
      </c>
      <c r="E24" s="185" t="s">
        <v>328</v>
      </c>
      <c r="F24" s="196" t="s">
        <v>54</v>
      </c>
      <c r="G24" s="91"/>
      <c r="H24" s="341" t="s">
        <v>30</v>
      </c>
      <c r="I24" s="195"/>
      <c r="J24" s="51" t="str">
        <f t="shared" si="1"/>
        <v/>
      </c>
      <c r="K24" s="52" t="s">
        <v>329</v>
      </c>
      <c r="L24" s="340" t="s">
        <v>108</v>
      </c>
      <c r="M24" s="263">
        <v>5</v>
      </c>
      <c r="N24" s="263">
        <v>4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</row>
    <row r="25" spans="1:240" s="54" customFormat="1" ht="16.350000000000001" customHeight="1">
      <c r="A25" s="43"/>
      <c r="B25" s="44">
        <v>329</v>
      </c>
      <c r="C25" s="160" t="s">
        <v>268</v>
      </c>
      <c r="D25" s="161" t="s">
        <v>371</v>
      </c>
      <c r="E25" s="185" t="s">
        <v>372</v>
      </c>
      <c r="F25" s="196" t="s">
        <v>22</v>
      </c>
      <c r="G25" s="91" t="s">
        <v>23</v>
      </c>
      <c r="H25" s="341" t="s">
        <v>30</v>
      </c>
      <c r="I25" s="195"/>
      <c r="J25" s="51" t="str">
        <f t="shared" si="1"/>
        <v/>
      </c>
      <c r="K25" s="52" t="s">
        <v>373</v>
      </c>
      <c r="L25" s="340" t="s">
        <v>108</v>
      </c>
      <c r="M25" s="263">
        <v>4</v>
      </c>
      <c r="N25" s="263">
        <v>4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LSSA</vt:lpstr>
      <vt:lpstr>60 M bėg.</vt:lpstr>
      <vt:lpstr>60 M Suvestinė</vt:lpstr>
      <vt:lpstr>60 V bėg.</vt:lpstr>
      <vt:lpstr>60 V Suvestinė</vt:lpstr>
      <vt:lpstr>200 M bėg.</vt:lpstr>
      <vt:lpstr>200 M Suvestinė</vt:lpstr>
      <vt:lpstr>200 V bėg</vt:lpstr>
      <vt:lpstr>200 V Suvestinė</vt:lpstr>
      <vt:lpstr>400 M bėg. </vt:lpstr>
      <vt:lpstr>400 M Suvestinė</vt:lpstr>
      <vt:lpstr>400 V bėg.</vt:lpstr>
      <vt:lpstr>400 V Suvestinė</vt:lpstr>
      <vt:lpstr>800 M</vt:lpstr>
      <vt:lpstr>800 V bėg.</vt:lpstr>
      <vt:lpstr>800 V Suvestinė</vt:lpstr>
      <vt:lpstr>1500 M</vt:lpstr>
      <vt:lpstr>1500 V</vt:lpstr>
      <vt:lpstr>3000 V</vt:lpstr>
      <vt:lpstr>60bb M</vt:lpstr>
      <vt:lpstr>60bb V</vt:lpstr>
      <vt:lpstr>4x200 M</vt:lpstr>
      <vt:lpstr>4x200 V</vt:lpstr>
      <vt:lpstr>3000ej M</vt:lpstr>
      <vt:lpstr>Aukstis M</vt:lpstr>
      <vt:lpstr>Aukstis V</vt:lpstr>
      <vt:lpstr>Kartis M</vt:lpstr>
      <vt:lpstr>Tolis M</vt:lpstr>
      <vt:lpstr>Tolis V</vt:lpstr>
      <vt:lpstr>Trisuolis M</vt:lpstr>
      <vt:lpstr>Trisuolis V</vt:lpstr>
      <vt:lpstr>Rutulys M</vt:lpstr>
      <vt:lpstr>Rutulys V</vt:lpstr>
      <vt:lpstr>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Buliuolis, Alfonsas</dc:creator>
  <cp:lastModifiedBy>temp</cp:lastModifiedBy>
  <cp:lastPrinted>2019-02-02T13:54:21Z</cp:lastPrinted>
  <dcterms:created xsi:type="dcterms:W3CDTF">2019-02-02T08:26:14Z</dcterms:created>
  <dcterms:modified xsi:type="dcterms:W3CDTF">2019-02-04T13:05:09Z</dcterms:modified>
</cp:coreProperties>
</file>