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12000" firstSheet="16" activeTab="22"/>
  </bookViews>
  <sheets>
    <sheet name="LSSA" sheetId="19" r:id="rId1"/>
    <sheet name="60 M bėg." sheetId="6" r:id="rId2"/>
    <sheet name="60 M Suvestine" sheetId="7" r:id="rId3"/>
    <sheet name="60 V bėg." sheetId="16" r:id="rId4"/>
    <sheet name="60 V Suvestinė" sheetId="15" r:id="rId5"/>
    <sheet name="200 M bėg." sheetId="21" r:id="rId6"/>
    <sheet name="200 M Suvestinė" sheetId="20" r:id="rId7"/>
    <sheet name="200 V bėg" sheetId="23" r:id="rId8"/>
    <sheet name="200 V Suvestine" sheetId="22" r:id="rId9"/>
    <sheet name="400 M " sheetId="10" r:id="rId10"/>
    <sheet name="400 V bėg." sheetId="12" r:id="rId11"/>
    <sheet name="400 V Suvestine" sheetId="13" r:id="rId12"/>
    <sheet name="800 M" sheetId="14" r:id="rId13"/>
    <sheet name="800 V bėg." sheetId="17" r:id="rId14"/>
    <sheet name="800 V bėg. Suvestinė" sheetId="18" r:id="rId15"/>
    <sheet name="1500 M" sheetId="24" r:id="rId16"/>
    <sheet name="1500 V" sheetId="27" r:id="rId17"/>
    <sheet name="3000 V" sheetId="5" r:id="rId18"/>
    <sheet name="60bb M finalas" sheetId="1" r:id="rId19"/>
    <sheet name="60bb V finalas" sheetId="2" r:id="rId20"/>
    <sheet name="4x200 M" sheetId="29" r:id="rId21"/>
    <sheet name="4x200 V" sheetId="30" r:id="rId22"/>
    <sheet name="3000ej M" sheetId="32" r:id="rId23"/>
    <sheet name="Aukstis M" sheetId="26" r:id="rId24"/>
    <sheet name="Aukstis V" sheetId="25" r:id="rId25"/>
    <sheet name="Tolis M" sheetId="3" r:id="rId26"/>
    <sheet name="Tolis V" sheetId="9" r:id="rId27"/>
    <sheet name="Trisuolis M" sheetId="11" r:id="rId28"/>
    <sheet name="Trisuolis V" sheetId="28" r:id="rId29"/>
    <sheet name="Rutulys M" sheetId="4" r:id="rId30"/>
    <sheet name="Rutulys V" sheetId="8" r:id="rId31"/>
    <sheet name="KOMANDINIAI" sheetId="31" r:id="rId32"/>
  </sheets>
  <definedNames>
    <definedName name="_xlnm._FilterDatabase" localSheetId="25" hidden="1">'Tolis M'!$A$8:$Q$8</definedName>
    <definedName name="_xlnm._FilterDatabase" localSheetId="26" hidden="1">'Tolis V'!$O$8:$O$8</definedName>
  </definedNames>
  <calcPr calcId="162913"/>
</workbook>
</file>

<file path=xl/calcChain.xml><?xml version="1.0" encoding="utf-8"?>
<calcChain xmlns="http://schemas.openxmlformats.org/spreadsheetml/2006/main">
  <c r="G9" i="32"/>
  <c r="J9"/>
  <c r="J10"/>
  <c r="G21" i="30"/>
  <c r="I17"/>
  <c r="G17"/>
  <c r="I13"/>
  <c r="G13"/>
  <c r="I9"/>
  <c r="G9"/>
  <c r="J13" i="29"/>
  <c r="G13"/>
  <c r="J9"/>
  <c r="G9"/>
  <c r="O16" i="28"/>
  <c r="P16"/>
  <c r="O15"/>
  <c r="P15"/>
  <c r="O14"/>
  <c r="P14"/>
  <c r="O13"/>
  <c r="P13"/>
  <c r="O12"/>
  <c r="P12"/>
  <c r="O11"/>
  <c r="P11"/>
  <c r="O10"/>
  <c r="P10"/>
  <c r="O9"/>
  <c r="P9"/>
  <c r="G9"/>
  <c r="G13"/>
  <c r="G11"/>
  <c r="G15"/>
  <c r="G10"/>
  <c r="G12"/>
  <c r="G14"/>
  <c r="G16"/>
  <c r="I14" i="27"/>
  <c r="G14"/>
  <c r="I13"/>
  <c r="G13"/>
  <c r="I12"/>
  <c r="G12"/>
  <c r="I11"/>
  <c r="G11"/>
  <c r="I10"/>
  <c r="G10"/>
  <c r="I9"/>
  <c r="G9"/>
  <c r="S11" i="26"/>
  <c r="S10"/>
  <c r="G10"/>
  <c r="S9"/>
  <c r="G9"/>
  <c r="U14" i="25"/>
  <c r="U13"/>
  <c r="U12"/>
  <c r="G12"/>
  <c r="U11"/>
  <c r="G11"/>
  <c r="U10"/>
  <c r="G10"/>
  <c r="U9"/>
  <c r="G9"/>
  <c r="I16" i="24"/>
  <c r="I15"/>
  <c r="G15"/>
  <c r="I14"/>
  <c r="G14"/>
  <c r="I13"/>
  <c r="G13"/>
  <c r="I12"/>
  <c r="G12"/>
  <c r="I11"/>
  <c r="G11"/>
  <c r="I10"/>
  <c r="G10"/>
  <c r="I9"/>
  <c r="G9"/>
  <c r="J60" i="23"/>
  <c r="G60"/>
  <c r="J59"/>
  <c r="G59"/>
  <c r="J58"/>
  <c r="G58"/>
  <c r="J57"/>
  <c r="G57"/>
  <c r="J52"/>
  <c r="J51"/>
  <c r="G51"/>
  <c r="J50"/>
  <c r="J49"/>
  <c r="J44"/>
  <c r="G44"/>
  <c r="J43"/>
  <c r="G43"/>
  <c r="J42"/>
  <c r="J41"/>
  <c r="G41"/>
  <c r="J36"/>
  <c r="J35"/>
  <c r="G35"/>
  <c r="J34"/>
  <c r="G34"/>
  <c r="J33"/>
  <c r="J28"/>
  <c r="G28"/>
  <c r="J27"/>
  <c r="G27"/>
  <c r="J26"/>
  <c r="J25"/>
  <c r="G25"/>
  <c r="J20"/>
  <c r="G20"/>
  <c r="J19"/>
  <c r="G19"/>
  <c r="J18"/>
  <c r="J17"/>
  <c r="G17"/>
  <c r="J12"/>
  <c r="J11"/>
  <c r="J10"/>
  <c r="J9"/>
  <c r="G9"/>
  <c r="J32" i="22"/>
  <c r="J31"/>
  <c r="J30"/>
  <c r="J29"/>
  <c r="J28"/>
  <c r="J27"/>
  <c r="J26"/>
  <c r="J25"/>
  <c r="J24"/>
  <c r="J23"/>
  <c r="J22"/>
  <c r="J21"/>
  <c r="G21"/>
  <c r="J20"/>
  <c r="G20"/>
  <c r="J19"/>
  <c r="G19"/>
  <c r="J18"/>
  <c r="G18"/>
  <c r="J17"/>
  <c r="G17"/>
  <c r="J16"/>
  <c r="G16"/>
  <c r="J15"/>
  <c r="G15"/>
  <c r="J14"/>
  <c r="G14"/>
  <c r="J13"/>
  <c r="G13"/>
  <c r="J12"/>
  <c r="G12"/>
  <c r="J11"/>
  <c r="G11"/>
  <c r="J10"/>
  <c r="G10"/>
  <c r="J9"/>
  <c r="G9"/>
  <c r="J43" i="21"/>
  <c r="G43"/>
  <c r="J42"/>
  <c r="G42"/>
  <c r="J41"/>
  <c r="G41"/>
  <c r="J40"/>
  <c r="G40"/>
  <c r="J36"/>
  <c r="G36"/>
  <c r="J35"/>
  <c r="G35"/>
  <c r="J34"/>
  <c r="G34"/>
  <c r="J33"/>
  <c r="G33"/>
  <c r="J28"/>
  <c r="G28"/>
  <c r="J27"/>
  <c r="J26"/>
  <c r="G26"/>
  <c r="J25"/>
  <c r="G25"/>
  <c r="J20"/>
  <c r="G20"/>
  <c r="J19"/>
  <c r="G19"/>
  <c r="J18"/>
  <c r="G18"/>
  <c r="J17"/>
  <c r="G17"/>
  <c r="J12"/>
  <c r="J11"/>
  <c r="G11"/>
  <c r="J10"/>
  <c r="G10"/>
  <c r="J9"/>
  <c r="G9"/>
  <c r="G9" i="20"/>
  <c r="J9"/>
  <c r="G10"/>
  <c r="J10"/>
  <c r="G11"/>
  <c r="J11"/>
  <c r="G12"/>
  <c r="J12"/>
  <c r="G13"/>
  <c r="J13"/>
  <c r="G14"/>
  <c r="J14"/>
  <c r="G15"/>
  <c r="J15"/>
  <c r="G16"/>
  <c r="J16"/>
  <c r="G17"/>
  <c r="J17"/>
  <c r="G18"/>
  <c r="J18"/>
  <c r="G19"/>
  <c r="J19"/>
  <c r="G20"/>
  <c r="J20"/>
  <c r="G21"/>
  <c r="J21"/>
  <c r="G22"/>
  <c r="J22"/>
  <c r="J23"/>
  <c r="J24"/>
  <c r="I22" i="18"/>
  <c r="I21"/>
  <c r="I20"/>
  <c r="I19"/>
  <c r="I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26" i="17"/>
  <c r="I25"/>
  <c r="G25"/>
  <c r="I24"/>
  <c r="G24"/>
  <c r="I23"/>
  <c r="G23"/>
  <c r="I22"/>
  <c r="G22"/>
  <c r="I21"/>
  <c r="G21"/>
  <c r="I20"/>
  <c r="G20"/>
  <c r="I15"/>
  <c r="I14"/>
  <c r="I13"/>
  <c r="I12"/>
  <c r="I11"/>
  <c r="G11"/>
  <c r="I10"/>
  <c r="G10"/>
  <c r="I9"/>
  <c r="G9"/>
  <c r="L56" i="16"/>
  <c r="G56"/>
  <c r="L55"/>
  <c r="L54"/>
  <c r="L53"/>
  <c r="L52"/>
  <c r="L51"/>
  <c r="L44"/>
  <c r="G44"/>
  <c r="L43"/>
  <c r="G43"/>
  <c r="L42"/>
  <c r="G42"/>
  <c r="L41"/>
  <c r="L40"/>
  <c r="G40"/>
  <c r="L39"/>
  <c r="G39"/>
  <c r="L34"/>
  <c r="G34"/>
  <c r="L33"/>
  <c r="G33"/>
  <c r="L32"/>
  <c r="G32"/>
  <c r="L31"/>
  <c r="G31"/>
  <c r="L30"/>
  <c r="G30"/>
  <c r="L29"/>
  <c r="G29"/>
  <c r="L24"/>
  <c r="G24"/>
  <c r="L23"/>
  <c r="G23"/>
  <c r="L22"/>
  <c r="G22"/>
  <c r="L21"/>
  <c r="G21"/>
  <c r="L20"/>
  <c r="G20"/>
  <c r="L19"/>
  <c r="L14"/>
  <c r="L13"/>
  <c r="L12"/>
  <c r="G12"/>
  <c r="L11"/>
  <c r="G11"/>
  <c r="L10"/>
  <c r="G10"/>
  <c r="L9"/>
  <c r="G9"/>
  <c r="L37" i="15"/>
  <c r="L36"/>
  <c r="L35"/>
  <c r="L34"/>
  <c r="L33"/>
  <c r="L32"/>
  <c r="L31"/>
  <c r="L30"/>
  <c r="L29"/>
  <c r="G29"/>
  <c r="L28"/>
  <c r="G28"/>
  <c r="L27"/>
  <c r="G27"/>
  <c r="L26"/>
  <c r="G26"/>
  <c r="L25"/>
  <c r="G25"/>
  <c r="L24"/>
  <c r="G24"/>
  <c r="L23"/>
  <c r="G23"/>
  <c r="L22"/>
  <c r="G22"/>
  <c r="L21"/>
  <c r="G21"/>
  <c r="L20"/>
  <c r="G20"/>
  <c r="L19"/>
  <c r="G19"/>
  <c r="L18"/>
  <c r="G18"/>
  <c r="L17"/>
  <c r="G17"/>
  <c r="L16"/>
  <c r="G16"/>
  <c r="L15"/>
  <c r="G15"/>
  <c r="L14"/>
  <c r="G14"/>
  <c r="L13"/>
  <c r="G13"/>
  <c r="L12"/>
  <c r="G12"/>
  <c r="L11"/>
  <c r="G11"/>
  <c r="L10"/>
  <c r="G10"/>
  <c r="L9"/>
  <c r="G9"/>
  <c r="I12" i="14"/>
  <c r="G12"/>
  <c r="I11"/>
  <c r="G11"/>
  <c r="I10"/>
  <c r="G10"/>
  <c r="I9"/>
  <c r="G9"/>
  <c r="J20" i="13"/>
  <c r="J19"/>
  <c r="J18"/>
  <c r="G18"/>
  <c r="J17"/>
  <c r="G17"/>
  <c r="J16"/>
  <c r="G16"/>
  <c r="J15"/>
  <c r="G15"/>
  <c r="J14"/>
  <c r="G14"/>
  <c r="J13"/>
  <c r="G13"/>
  <c r="J12"/>
  <c r="G12"/>
  <c r="J11"/>
  <c r="G11"/>
  <c r="J10"/>
  <c r="G10"/>
  <c r="J9"/>
  <c r="G9"/>
  <c r="J35" i="12"/>
  <c r="J34"/>
  <c r="J33"/>
  <c r="G33"/>
  <c r="J28"/>
  <c r="G28"/>
  <c r="J27"/>
  <c r="G27"/>
  <c r="J26"/>
  <c r="G26"/>
  <c r="J25"/>
  <c r="G25"/>
  <c r="J20"/>
  <c r="G20"/>
  <c r="J19"/>
  <c r="G19"/>
  <c r="J18"/>
  <c r="G18"/>
  <c r="J17"/>
  <c r="G17"/>
  <c r="J12"/>
  <c r="G12"/>
  <c r="J11"/>
  <c r="G11"/>
  <c r="J10"/>
  <c r="G10"/>
  <c r="J9"/>
  <c r="G9"/>
  <c r="O13" i="11"/>
  <c r="P13"/>
  <c r="O12"/>
  <c r="G12"/>
  <c r="O11"/>
  <c r="P11"/>
  <c r="O10"/>
  <c r="G10"/>
  <c r="O9"/>
  <c r="P9"/>
  <c r="P10"/>
  <c r="P12"/>
  <c r="G9"/>
  <c r="G11"/>
  <c r="G9" i="10"/>
  <c r="J9"/>
  <c r="J10"/>
  <c r="O18" i="9"/>
  <c r="P18"/>
  <c r="O17"/>
  <c r="P17"/>
  <c r="O16"/>
  <c r="P16"/>
  <c r="O15"/>
  <c r="P15"/>
  <c r="O14"/>
  <c r="P14"/>
  <c r="O13"/>
  <c r="P13"/>
  <c r="O12"/>
  <c r="P12"/>
  <c r="O11"/>
  <c r="P11"/>
  <c r="O10"/>
  <c r="P10"/>
  <c r="O9"/>
  <c r="P9"/>
  <c r="G9"/>
  <c r="G11"/>
  <c r="G13"/>
  <c r="G15"/>
  <c r="G17"/>
  <c r="G10"/>
  <c r="G12"/>
  <c r="G14"/>
  <c r="G16"/>
  <c r="G18"/>
  <c r="O14" i="8"/>
  <c r="P14"/>
  <c r="O13"/>
  <c r="P13"/>
  <c r="O12"/>
  <c r="P12"/>
  <c r="O11"/>
  <c r="P11"/>
  <c r="G11"/>
  <c r="O10"/>
  <c r="P10"/>
  <c r="O9"/>
  <c r="P9"/>
  <c r="G9"/>
  <c r="G13"/>
  <c r="G10"/>
  <c r="G12"/>
  <c r="G14"/>
  <c r="G9" i="7"/>
  <c r="L9"/>
  <c r="G10"/>
  <c r="L10"/>
  <c r="G11"/>
  <c r="L11"/>
  <c r="G12"/>
  <c r="L12"/>
  <c r="G13"/>
  <c r="L13"/>
  <c r="G14"/>
  <c r="L14"/>
  <c r="G15"/>
  <c r="L15"/>
  <c r="G16"/>
  <c r="L16"/>
  <c r="G17"/>
  <c r="L17"/>
  <c r="G18"/>
  <c r="L18"/>
  <c r="G19"/>
  <c r="L19"/>
  <c r="G20"/>
  <c r="L20"/>
  <c r="G21"/>
  <c r="L21"/>
  <c r="G22"/>
  <c r="L22"/>
  <c r="G23"/>
  <c r="L23"/>
  <c r="G24"/>
  <c r="L24"/>
  <c r="L25"/>
  <c r="L26"/>
  <c r="L40" i="6"/>
  <c r="G40"/>
  <c r="L39"/>
  <c r="G39"/>
  <c r="L38"/>
  <c r="G38"/>
  <c r="L37"/>
  <c r="G37"/>
  <c r="L36"/>
  <c r="G36"/>
  <c r="L31"/>
  <c r="G31"/>
  <c r="L30"/>
  <c r="G30"/>
  <c r="L29"/>
  <c r="G29"/>
  <c r="L28"/>
  <c r="G28"/>
  <c r="L27"/>
  <c r="G27"/>
  <c r="L22"/>
  <c r="G22"/>
  <c r="L21"/>
  <c r="G21"/>
  <c r="L20"/>
  <c r="G20"/>
  <c r="L19"/>
  <c r="G19"/>
  <c r="L18"/>
  <c r="G18"/>
  <c r="L13"/>
  <c r="G13"/>
  <c r="L12"/>
  <c r="G12"/>
  <c r="L11"/>
  <c r="G11"/>
  <c r="L10"/>
  <c r="L9"/>
  <c r="G9"/>
  <c r="I12" i="5"/>
  <c r="G12"/>
  <c r="I11"/>
  <c r="G11"/>
  <c r="I10"/>
  <c r="G10"/>
  <c r="I9"/>
  <c r="G9"/>
  <c r="P12" i="4"/>
  <c r="P11"/>
  <c r="G11"/>
  <c r="O10"/>
  <c r="P10"/>
  <c r="O9"/>
  <c r="P9"/>
  <c r="G9"/>
  <c r="O9" i="3"/>
  <c r="G9"/>
  <c r="G10"/>
  <c r="P10"/>
  <c r="O11"/>
  <c r="G11"/>
  <c r="O12"/>
  <c r="G12"/>
  <c r="O13"/>
  <c r="P13"/>
  <c r="O14"/>
  <c r="G14"/>
  <c r="O15"/>
  <c r="P15"/>
  <c r="P14"/>
  <c r="P12"/>
  <c r="P9"/>
  <c r="G13"/>
  <c r="P11"/>
  <c r="L13" i="2"/>
  <c r="G13"/>
  <c r="L12"/>
  <c r="G12"/>
  <c r="L11"/>
  <c r="G11"/>
  <c r="L10"/>
  <c r="G10"/>
  <c r="L9"/>
  <c r="G9"/>
  <c r="L10" i="1"/>
  <c r="G10"/>
  <c r="L9"/>
  <c r="G9"/>
  <c r="L11"/>
  <c r="G11"/>
  <c r="L12"/>
  <c r="G12"/>
  <c r="L13"/>
  <c r="G13"/>
</calcChain>
</file>

<file path=xl/sharedStrings.xml><?xml version="1.0" encoding="utf-8"?>
<sst xmlns="http://schemas.openxmlformats.org/spreadsheetml/2006/main" count="2893" uniqueCount="658">
  <si>
    <t>LIETUVOS UNIVERSITETŲ STUDENTŲ LENGVOSIOS ATLETIKOS ŽIEMOS ČEMPIONATAS</t>
  </si>
  <si>
    <t>Kaunas,</t>
  </si>
  <si>
    <t>60 m barjerinis bėgimas moterims</t>
  </si>
  <si>
    <t>2018-02-03</t>
  </si>
  <si>
    <t>Finalas</t>
  </si>
  <si>
    <t>Takas</t>
  </si>
  <si>
    <t>Nr.</t>
  </si>
  <si>
    <t>Vardas</t>
  </si>
  <si>
    <t>Pavardė</t>
  </si>
  <si>
    <t>Gim.data</t>
  </si>
  <si>
    <t>Komanda</t>
  </si>
  <si>
    <t>Taškai</t>
  </si>
  <si>
    <t>Rezultatas</t>
  </si>
  <si>
    <t>R.l.</t>
  </si>
  <si>
    <t>Rez.fin.</t>
  </si>
  <si>
    <t>Kv. l.</t>
  </si>
  <si>
    <t>Treneris</t>
  </si>
  <si>
    <t>SB</t>
  </si>
  <si>
    <t>Kotryna</t>
  </si>
  <si>
    <t>Kairytė</t>
  </si>
  <si>
    <t>1998-09-30</t>
  </si>
  <si>
    <t>VU</t>
  </si>
  <si>
    <t>E. Žiupkienė</t>
  </si>
  <si>
    <t>Kamilė</t>
  </si>
  <si>
    <t>Gargasaitė</t>
  </si>
  <si>
    <t>1998-06-14</t>
  </si>
  <si>
    <t>LSU-1</t>
  </si>
  <si>
    <t>J.Čižauskas</t>
  </si>
  <si>
    <t>-</t>
  </si>
  <si>
    <t xml:space="preserve">Rasa </t>
  </si>
  <si>
    <t>Mažeikaitė</t>
  </si>
  <si>
    <t>1997-06-17</t>
  </si>
  <si>
    <t>ŠU</t>
  </si>
  <si>
    <t>J. Baikštienė, T. Skalikas</t>
  </si>
  <si>
    <t>Greta</t>
  </si>
  <si>
    <t>Plečkaitytė</t>
  </si>
  <si>
    <t>1998-03-16</t>
  </si>
  <si>
    <t>M. Vadeikis, N. Gedgaudienė</t>
  </si>
  <si>
    <t>Erika</t>
  </si>
  <si>
    <t>Krūminaitė</t>
  </si>
  <si>
    <t>1998-04-24</t>
  </si>
  <si>
    <t>KU</t>
  </si>
  <si>
    <t>V.Baronienė</t>
  </si>
  <si>
    <t>Vieta</t>
  </si>
  <si>
    <t>60 m barjerinis bėgimas vyrams</t>
  </si>
  <si>
    <t>Martynas</t>
  </si>
  <si>
    <t>Vrašinskas</t>
  </si>
  <si>
    <t>1995-09-30</t>
  </si>
  <si>
    <t>KTU</t>
  </si>
  <si>
    <t>N.Gedgaudienė</t>
  </si>
  <si>
    <t>8.06</t>
  </si>
  <si>
    <t>Gabrielius</t>
  </si>
  <si>
    <t>Bžeskis</t>
  </si>
  <si>
    <t>1998-07-30</t>
  </si>
  <si>
    <t>A. Gavėvas</t>
  </si>
  <si>
    <t>8.39</t>
  </si>
  <si>
    <t>Maksim</t>
  </si>
  <si>
    <t>Bolotin</t>
  </si>
  <si>
    <t>1998-06-12</t>
  </si>
  <si>
    <t>VGTU</t>
  </si>
  <si>
    <t>8.65</t>
  </si>
  <si>
    <t xml:space="preserve">Alvydas </t>
  </si>
  <si>
    <t>Misius</t>
  </si>
  <si>
    <t>1993-02-14</t>
  </si>
  <si>
    <t>A. Izergin</t>
  </si>
  <si>
    <t>8.85</t>
  </si>
  <si>
    <t>Tomas</t>
  </si>
  <si>
    <t>Bendoraitis</t>
  </si>
  <si>
    <t>1992-06-12</t>
  </si>
  <si>
    <t>A.Skujytė</t>
  </si>
  <si>
    <t>9.10</t>
  </si>
  <si>
    <t>J. Baikštienė</t>
  </si>
  <si>
    <t>DNS</t>
  </si>
  <si>
    <t>b.k.</t>
  </si>
  <si>
    <t>Šiauliai</t>
  </si>
  <si>
    <t>1999-03-24</t>
  </si>
  <si>
    <t>Klimašauskaitė</t>
  </si>
  <si>
    <t>Raminta</t>
  </si>
  <si>
    <t>O.Povilionienė, N.Gedgaudienė</t>
  </si>
  <si>
    <t>X</t>
  </si>
  <si>
    <t>Kaunas</t>
  </si>
  <si>
    <t>2000-06-12</t>
  </si>
  <si>
    <t>Gumauskaitė</t>
  </si>
  <si>
    <t>Agnietė</t>
  </si>
  <si>
    <t>savarankiškai</t>
  </si>
  <si>
    <t>1996-11-14</t>
  </si>
  <si>
    <t>Tepliakovaitė</t>
  </si>
  <si>
    <t>Rusnė</t>
  </si>
  <si>
    <t>K.Šapka</t>
  </si>
  <si>
    <t>1996-06-26</t>
  </si>
  <si>
    <t>Aukštuolytė</t>
  </si>
  <si>
    <t>Justina</t>
  </si>
  <si>
    <t>K. Šapka, K. Mačėnas</t>
  </si>
  <si>
    <t>1995-03-23</t>
  </si>
  <si>
    <t>Gedaminskaitė</t>
  </si>
  <si>
    <t xml:space="preserve">Neringa </t>
  </si>
  <si>
    <t>A.Gricevičius</t>
  </si>
  <si>
    <t>1998-02-10</t>
  </si>
  <si>
    <t>Grybaitė</t>
  </si>
  <si>
    <t>Simona</t>
  </si>
  <si>
    <t>J.Čižauskas,J.Beržinskienė</t>
  </si>
  <si>
    <t>1998-03-24</t>
  </si>
  <si>
    <t>Regalaitė</t>
  </si>
  <si>
    <t>Augustė</t>
  </si>
  <si>
    <t>Kv.l.</t>
  </si>
  <si>
    <t>Rez.</t>
  </si>
  <si>
    <t>Eilė</t>
  </si>
  <si>
    <t>Bandymai</t>
  </si>
  <si>
    <t>Šuolis į tolį moterims</t>
  </si>
  <si>
    <t>Rutulio stūmimas moterims</t>
  </si>
  <si>
    <t>Turskytė</t>
  </si>
  <si>
    <t>1997-01-27</t>
  </si>
  <si>
    <t>LSMU</t>
  </si>
  <si>
    <t>V.,L.Maleckiai</t>
  </si>
  <si>
    <t xml:space="preserve">Simona </t>
  </si>
  <si>
    <t>Dobilaitė</t>
  </si>
  <si>
    <t>1995-05-23</t>
  </si>
  <si>
    <t>LSU-2</t>
  </si>
  <si>
    <t>T.Nekrošaitė</t>
  </si>
  <si>
    <t>Agnė</t>
  </si>
  <si>
    <t>Jonkutė</t>
  </si>
  <si>
    <t>1999-03-13</t>
  </si>
  <si>
    <t>Vilnius-Joniškis</t>
  </si>
  <si>
    <t>J.Radžius</t>
  </si>
  <si>
    <t>3000 m bėgimas vyrams</t>
  </si>
  <si>
    <t>Evaldas</t>
  </si>
  <si>
    <t>Gustaitis</t>
  </si>
  <si>
    <t>1995-05-02</t>
  </si>
  <si>
    <t>V.Komisaraitis,A.Buliuolis</t>
  </si>
  <si>
    <t>Bizimavičius</t>
  </si>
  <si>
    <t>1992-11-08</t>
  </si>
  <si>
    <t>R.Kančys, L.Kančytė</t>
  </si>
  <si>
    <t>Jaunius</t>
  </si>
  <si>
    <t>Strazdas</t>
  </si>
  <si>
    <t>1996-10-23</t>
  </si>
  <si>
    <t>J. Armonienė</t>
  </si>
  <si>
    <t>Dilys</t>
  </si>
  <si>
    <t>1995-12-17</t>
  </si>
  <si>
    <t>V. Kozlov</t>
  </si>
  <si>
    <t>60 m bėgimas moterims</t>
  </si>
  <si>
    <t>bėgimas iš 4</t>
  </si>
  <si>
    <t>Rez.p.b.</t>
  </si>
  <si>
    <t>Violeta</t>
  </si>
  <si>
    <t>Šlempo</t>
  </si>
  <si>
    <t>2000-12-18</t>
  </si>
  <si>
    <t>Vilnius</t>
  </si>
  <si>
    <t>L. Juchnevičienė</t>
  </si>
  <si>
    <t>Viktorija</t>
  </si>
  <si>
    <t>Ivickytė</t>
  </si>
  <si>
    <t>1997-02-19</t>
  </si>
  <si>
    <t>P. Žukienė</t>
  </si>
  <si>
    <t>Tonkovičiūtė</t>
  </si>
  <si>
    <t>1998-03-30</t>
  </si>
  <si>
    <t>M.Skrabulis, I.Krakoviak-Tolstika, A.Tolstiks</t>
  </si>
  <si>
    <t>Gabrielė</t>
  </si>
  <si>
    <t>Auškalnytė</t>
  </si>
  <si>
    <t>1997-06-29</t>
  </si>
  <si>
    <t>V.Šilinskas, S.Čėsna</t>
  </si>
  <si>
    <t>Pauliūtė</t>
  </si>
  <si>
    <t>A. Tolstiks</t>
  </si>
  <si>
    <t>Aistė</t>
  </si>
  <si>
    <t>Staurylaitė</t>
  </si>
  <si>
    <t>1997-01-08</t>
  </si>
  <si>
    <t>Unskinaitė</t>
  </si>
  <si>
    <t>1998-01-02</t>
  </si>
  <si>
    <t>J.Čižauskas,D.D.Senkai</t>
  </si>
  <si>
    <t>Brigita</t>
  </si>
  <si>
    <t>Šaučiūnaitė</t>
  </si>
  <si>
    <t>1997-07-20</t>
  </si>
  <si>
    <t>V.Šilinskas</t>
  </si>
  <si>
    <t>Almanaitytė</t>
  </si>
  <si>
    <t>1994-10-08</t>
  </si>
  <si>
    <t>LEU</t>
  </si>
  <si>
    <t>NT</t>
  </si>
  <si>
    <t>V.Kozlov P.Žukienė</t>
  </si>
  <si>
    <t>Silvija</t>
  </si>
  <si>
    <t>Baubonytė</t>
  </si>
  <si>
    <t>1996-11-09</t>
  </si>
  <si>
    <t>Ieva</t>
  </si>
  <si>
    <t>Janiškevičiūtė</t>
  </si>
  <si>
    <t>1997-01-24</t>
  </si>
  <si>
    <t>D. Skirmantienė, J.Armonienė</t>
  </si>
  <si>
    <t>Karolina</t>
  </si>
  <si>
    <t>Deliautaitė</t>
  </si>
  <si>
    <t>1995-08-09</t>
  </si>
  <si>
    <t>Emilija</t>
  </si>
  <si>
    <t>Rudytė</t>
  </si>
  <si>
    <t>1996-08-13</t>
  </si>
  <si>
    <t>I. Jefimova</t>
  </si>
  <si>
    <t>Pacevičiūtė</t>
  </si>
  <si>
    <t>1998-01-15</t>
  </si>
  <si>
    <t>G.Šerėnienė</t>
  </si>
  <si>
    <t>Kornelija</t>
  </si>
  <si>
    <t>Okunevič</t>
  </si>
  <si>
    <t>1999-09-08</t>
  </si>
  <si>
    <t>R. Snarskienė</t>
  </si>
  <si>
    <t>Ugnė</t>
  </si>
  <si>
    <t>Jankauskaitė</t>
  </si>
  <si>
    <t>1995-03-15</t>
  </si>
  <si>
    <t>A.Pranckevičius</t>
  </si>
  <si>
    <t>Laura</t>
  </si>
  <si>
    <t>Bilinskaitė</t>
  </si>
  <si>
    <t>1995-05-19</t>
  </si>
  <si>
    <t>K. Šapka. V. Šmitas</t>
  </si>
  <si>
    <t>Ft</t>
  </si>
  <si>
    <t>Suvestinė</t>
  </si>
  <si>
    <t>Rutulio stūmimas vyrams</t>
  </si>
  <si>
    <t>Karolis</t>
  </si>
  <si>
    <t>Maisuradzė</t>
  </si>
  <si>
    <t>1997-06-20</t>
  </si>
  <si>
    <t>A.Miliauskas,L.Maleckis</t>
  </si>
  <si>
    <t xml:space="preserve">Karolis </t>
  </si>
  <si>
    <t>Murašovas</t>
  </si>
  <si>
    <t>1992-08-13</t>
  </si>
  <si>
    <t>V. R. Murašovai</t>
  </si>
  <si>
    <t>Romas</t>
  </si>
  <si>
    <t>Paškovskij</t>
  </si>
  <si>
    <t>1995-02-28</t>
  </si>
  <si>
    <t>A.Miliauskas,S.Liepinaitis</t>
  </si>
  <si>
    <t>Lukas</t>
  </si>
  <si>
    <t>Laima</t>
  </si>
  <si>
    <t>1995-12-19</t>
  </si>
  <si>
    <t>R.Ubartas</t>
  </si>
  <si>
    <t>Simonas</t>
  </si>
  <si>
    <t>Martišius</t>
  </si>
  <si>
    <t>1996-09-03</t>
  </si>
  <si>
    <t>A.Miliauskas,E.Jurgutis</t>
  </si>
  <si>
    <t>Rokas</t>
  </si>
  <si>
    <t>Jakimavičius</t>
  </si>
  <si>
    <t>1997-04-28</t>
  </si>
  <si>
    <t>Šuolis į tolį vyrams</t>
  </si>
  <si>
    <t>Urbonavičius</t>
  </si>
  <si>
    <t>1995-08-13</t>
  </si>
  <si>
    <t>Dominykas</t>
  </si>
  <si>
    <t>Petrosevičius</t>
  </si>
  <si>
    <t>1997-01-28</t>
  </si>
  <si>
    <t>VDU</t>
  </si>
  <si>
    <t>A. Gavelytė, V. Kiaulakis, A.Baranauskas</t>
  </si>
  <si>
    <t>Dovydas</t>
  </si>
  <si>
    <t>Maciukevičius</t>
  </si>
  <si>
    <t>1997-12-27</t>
  </si>
  <si>
    <t>K. Šapka, S. Oželis</t>
  </si>
  <si>
    <t>Algirdas</t>
  </si>
  <si>
    <t>Stuknys</t>
  </si>
  <si>
    <t>1995-03-25</t>
  </si>
  <si>
    <t>R.Petruškevičius</t>
  </si>
  <si>
    <t>Elvinas</t>
  </si>
  <si>
    <t>Brazauskas</t>
  </si>
  <si>
    <t>1997-01-17</t>
  </si>
  <si>
    <t>K.Šapka,V.Nekrašas</t>
  </si>
  <si>
    <t xml:space="preserve">Benas </t>
  </si>
  <si>
    <t>Bileišis</t>
  </si>
  <si>
    <t>1998-04-20</t>
  </si>
  <si>
    <t>J. Tribienė</t>
  </si>
  <si>
    <t>Kostas</t>
  </si>
  <si>
    <t>Knašys</t>
  </si>
  <si>
    <t>1998-06-22</t>
  </si>
  <si>
    <t>L. Milikauskaitė, L. Stanienė</t>
  </si>
  <si>
    <t>Ernestas</t>
  </si>
  <si>
    <t>Šostakas</t>
  </si>
  <si>
    <t>1997-12-17</t>
  </si>
  <si>
    <t>Rentelis</t>
  </si>
  <si>
    <t>1994-05-12</t>
  </si>
  <si>
    <t>E.Karaškienė</t>
  </si>
  <si>
    <t>Krikštanavičius</t>
  </si>
  <si>
    <t>1998-11-27</t>
  </si>
  <si>
    <t>NM</t>
  </si>
  <si>
    <t>Lotužis</t>
  </si>
  <si>
    <t>1992-12-30</t>
  </si>
  <si>
    <t>Vilnius,Skuodas</t>
  </si>
  <si>
    <t>K. Šapka,A.Donėla</t>
  </si>
  <si>
    <t xml:space="preserve"> M.Vadeikis</t>
  </si>
  <si>
    <t>2000-08-18</t>
  </si>
  <si>
    <t>Macijauskaitė</t>
  </si>
  <si>
    <t>Austė</t>
  </si>
  <si>
    <t>1998-06-15</t>
  </si>
  <si>
    <t>Stabingytė</t>
  </si>
  <si>
    <t>Ramunė</t>
  </si>
  <si>
    <t>400 m bėgimas moterims</t>
  </si>
  <si>
    <t>Trišuolis moterims</t>
  </si>
  <si>
    <t>Dargytė</t>
  </si>
  <si>
    <t>1997-07-28</t>
  </si>
  <si>
    <t>x</t>
  </si>
  <si>
    <t>A.Gavelytė</t>
  </si>
  <si>
    <t>Sandra</t>
  </si>
  <si>
    <t>Alejūnaitė</t>
  </si>
  <si>
    <t>1999-08-05</t>
  </si>
  <si>
    <t>A. Tolstiks, I. Krakoviak-Tolstika, J. Baikštienė</t>
  </si>
  <si>
    <t>Guoda</t>
  </si>
  <si>
    <t>Petkevičiūtė</t>
  </si>
  <si>
    <t>2000-05-17</t>
  </si>
  <si>
    <t>R.Snarskienė</t>
  </si>
  <si>
    <t>400 m bėgimas vyrams</t>
  </si>
  <si>
    <t xml:space="preserve">Ričardas </t>
  </si>
  <si>
    <t>Gudonavičius</t>
  </si>
  <si>
    <t>1998-04-13</t>
  </si>
  <si>
    <t>E.Karaškienė, N.Daugelienė</t>
  </si>
  <si>
    <t>56.84</t>
  </si>
  <si>
    <t>Artūras</t>
  </si>
  <si>
    <t>Muliarovas</t>
  </si>
  <si>
    <t>1996-10-08</t>
  </si>
  <si>
    <t>Mindaugas</t>
  </si>
  <si>
    <t>Striokas</t>
  </si>
  <si>
    <t>1991-01-26</t>
  </si>
  <si>
    <t>J. Garalevičius, M. Saldukaitis</t>
  </si>
  <si>
    <t>Giedrius</t>
  </si>
  <si>
    <t>Astrauskas</t>
  </si>
  <si>
    <t>N.Sabaliauskienė</t>
  </si>
  <si>
    <t>Valentinas</t>
  </si>
  <si>
    <t>Bukovskis</t>
  </si>
  <si>
    <t>G. Šerėnienė, I.Jefimova</t>
  </si>
  <si>
    <t xml:space="preserve">Daniel </t>
  </si>
  <si>
    <t>Golovacki</t>
  </si>
  <si>
    <t>1996-02-12</t>
  </si>
  <si>
    <t>N.Sabaliauskienė,G.Michniova,D.Jankauskaitė</t>
  </si>
  <si>
    <t>50.75</t>
  </si>
  <si>
    <t>Modestas</t>
  </si>
  <si>
    <t>Pabiržis</t>
  </si>
  <si>
    <t>1996-06-08</t>
  </si>
  <si>
    <t>J. Garalevičius</t>
  </si>
  <si>
    <t>Almantas</t>
  </si>
  <si>
    <t>Dapkevičius</t>
  </si>
  <si>
    <t>1996-09-11</t>
  </si>
  <si>
    <t>ASU</t>
  </si>
  <si>
    <t>A.Kazlauskas, D.Urbonienė</t>
  </si>
  <si>
    <t>Benediktas</t>
  </si>
  <si>
    <t>Mickus</t>
  </si>
  <si>
    <t>1997-03-26</t>
  </si>
  <si>
    <t>M. Krakys</t>
  </si>
  <si>
    <t>Janauskas</t>
  </si>
  <si>
    <t>1987-07-25</t>
  </si>
  <si>
    <t>L.Grinčikaitė-Samuolė</t>
  </si>
  <si>
    <t xml:space="preserve"> 50.13</t>
  </si>
  <si>
    <t xml:space="preserve">Martinas </t>
  </si>
  <si>
    <t>Kaminskas</t>
  </si>
  <si>
    <t>2001-03-26</t>
  </si>
  <si>
    <t>57.99</t>
  </si>
  <si>
    <t>Vytautas</t>
  </si>
  <si>
    <t>Dalikas</t>
  </si>
  <si>
    <t>1982-12-26</t>
  </si>
  <si>
    <t>800 m bėgimas moterims</t>
  </si>
  <si>
    <t>Rimantė</t>
  </si>
  <si>
    <t>Vijeikytė</t>
  </si>
  <si>
    <t>1994-12-19</t>
  </si>
  <si>
    <t>2:25,91</t>
  </si>
  <si>
    <t>Krupinskaitė</t>
  </si>
  <si>
    <t>1995-11-07</t>
  </si>
  <si>
    <t>Želvytė</t>
  </si>
  <si>
    <t>1996-09-25</t>
  </si>
  <si>
    <t>H. Eismontas</t>
  </si>
  <si>
    <t>Monika</t>
  </si>
  <si>
    <t>Jovašaitė</t>
  </si>
  <si>
    <t>1996-07-06</t>
  </si>
  <si>
    <t>60 m bėgimas vyrams</t>
  </si>
  <si>
    <t>Bėg.</t>
  </si>
  <si>
    <t>T.F.</t>
  </si>
  <si>
    <t>Skrabulis</t>
  </si>
  <si>
    <t>1992-08-04</t>
  </si>
  <si>
    <t>MRU</t>
  </si>
  <si>
    <t>M. Skrabulis, D. Skirmantienė</t>
  </si>
  <si>
    <t>Pacevičius</t>
  </si>
  <si>
    <t>1995-05-10</t>
  </si>
  <si>
    <t>Silkinis</t>
  </si>
  <si>
    <t>1995-06-23</t>
  </si>
  <si>
    <t>Mantas</t>
  </si>
  <si>
    <t>Šeštokas</t>
  </si>
  <si>
    <t>1996-04-18</t>
  </si>
  <si>
    <t>D. Skirmantienė</t>
  </si>
  <si>
    <t>Irmantas</t>
  </si>
  <si>
    <t>Birbalas</t>
  </si>
  <si>
    <t>1996-05-16</t>
  </si>
  <si>
    <t>Treinys</t>
  </si>
  <si>
    <t>1996-11-19</t>
  </si>
  <si>
    <t>Paulius</t>
  </si>
  <si>
    <t>Kazlauskas</t>
  </si>
  <si>
    <t>1994-09-07</t>
  </si>
  <si>
    <t>Einius</t>
  </si>
  <si>
    <t>Trumpa</t>
  </si>
  <si>
    <t>1998-06-23</t>
  </si>
  <si>
    <t>A. Gavėnas, V. Čereška</t>
  </si>
  <si>
    <t>Mikas</t>
  </si>
  <si>
    <t>Beinorius</t>
  </si>
  <si>
    <t>1994-05-19</t>
  </si>
  <si>
    <t>Dariuš</t>
  </si>
  <si>
    <t>Križanovskij</t>
  </si>
  <si>
    <t>Vladislovas</t>
  </si>
  <si>
    <t>Kofyrinas</t>
  </si>
  <si>
    <t>1994-09-25</t>
  </si>
  <si>
    <t>Laurynas</t>
  </si>
  <si>
    <t>Rupeika</t>
  </si>
  <si>
    <t>1996-05-03</t>
  </si>
  <si>
    <t>N. Sabaliauskienė</t>
  </si>
  <si>
    <t>Vaitkevičius</t>
  </si>
  <si>
    <t>1998-05-19</t>
  </si>
  <si>
    <t>A. Tolstik</t>
  </si>
  <si>
    <t>Svajūnas</t>
  </si>
  <si>
    <t>Abromas</t>
  </si>
  <si>
    <t>1993-07-28</t>
  </si>
  <si>
    <t>E.Karaškienė, D.Januševičius</t>
  </si>
  <si>
    <t>Arnoldas</t>
  </si>
  <si>
    <t>Milkus</t>
  </si>
  <si>
    <t>1995-04-03</t>
  </si>
  <si>
    <t>Arnas</t>
  </si>
  <si>
    <t>Kontrimas</t>
  </si>
  <si>
    <t>1996-11-04</t>
  </si>
  <si>
    <t>Aurimas</t>
  </si>
  <si>
    <t>Ašutaitis</t>
  </si>
  <si>
    <t>1993-01-31</t>
  </si>
  <si>
    <t>R. Anšlauskas</t>
  </si>
  <si>
    <t>1992-09-10</t>
  </si>
  <si>
    <t>D. Skirmantienė, M. Skrabulis</t>
  </si>
  <si>
    <t>Berūkštis</t>
  </si>
  <si>
    <t>2000-05-11</t>
  </si>
  <si>
    <t>Tomaš</t>
  </si>
  <si>
    <t>Paškovski</t>
  </si>
  <si>
    <t>2000-03-12</t>
  </si>
  <si>
    <t>I.Jefimova</t>
  </si>
  <si>
    <t xml:space="preserve">Dominykas </t>
  </si>
  <si>
    <t>Brudnius</t>
  </si>
  <si>
    <t>2001-05-21</t>
  </si>
  <si>
    <t>Grauslys</t>
  </si>
  <si>
    <t>1995-08-15</t>
  </si>
  <si>
    <t>A.Buliuolis</t>
  </si>
  <si>
    <t>1998-06-29</t>
  </si>
  <si>
    <t>Šarūnas</t>
  </si>
  <si>
    <t>Totoraitis</t>
  </si>
  <si>
    <t>1996-03-09</t>
  </si>
  <si>
    <t>bėgimas iš 5</t>
  </si>
  <si>
    <t>800 m bėgimas vyrams</t>
  </si>
  <si>
    <t>bėgimas iš 2</t>
  </si>
  <si>
    <t>Arturas</t>
  </si>
  <si>
    <t>Štura</t>
  </si>
  <si>
    <t>1997-05-17</t>
  </si>
  <si>
    <t>2:09.01</t>
  </si>
  <si>
    <t xml:space="preserve">Justinas </t>
  </si>
  <si>
    <t>Viskupaitis</t>
  </si>
  <si>
    <t>1997-06-25</t>
  </si>
  <si>
    <t>2:09.63</t>
  </si>
  <si>
    <t>Eligijus</t>
  </si>
  <si>
    <t>Buivydas</t>
  </si>
  <si>
    <t>1996-03-27</t>
  </si>
  <si>
    <t>Jakubaitis</t>
  </si>
  <si>
    <t>2000-09-10</t>
  </si>
  <si>
    <t>Šiaulai</t>
  </si>
  <si>
    <t>D.Šaučikovas</t>
  </si>
  <si>
    <t>2:08.65</t>
  </si>
  <si>
    <t xml:space="preserve">Tomas </t>
  </si>
  <si>
    <t>Jankauskis</t>
  </si>
  <si>
    <t>2000-03-03</t>
  </si>
  <si>
    <t>Pakruojo raj.</t>
  </si>
  <si>
    <t>A.Macevičius</t>
  </si>
  <si>
    <t>2:13.33</t>
  </si>
  <si>
    <t>Povilas</t>
  </si>
  <si>
    <t>Krapikas</t>
  </si>
  <si>
    <t>1998-09-20</t>
  </si>
  <si>
    <t>2:16.23</t>
  </si>
  <si>
    <t>Robert</t>
  </si>
  <si>
    <t>Antonovič</t>
  </si>
  <si>
    <t>1998-05-01</t>
  </si>
  <si>
    <t>1:57.92</t>
  </si>
  <si>
    <t>Justinas</t>
  </si>
  <si>
    <t>Laurinaitis</t>
  </si>
  <si>
    <t>2:03.23</t>
  </si>
  <si>
    <t>Luneckas</t>
  </si>
  <si>
    <t>1997-07-11</t>
  </si>
  <si>
    <t>1:59.33</t>
  </si>
  <si>
    <t>Miliūnas</t>
  </si>
  <si>
    <t>1996-07-17</t>
  </si>
  <si>
    <t>A.Miliauskas</t>
  </si>
  <si>
    <t>2:04.69</t>
  </si>
  <si>
    <t>Algimantas</t>
  </si>
  <si>
    <t>Žemaitaitis</t>
  </si>
  <si>
    <t>1998-01-13</t>
  </si>
  <si>
    <t>V. Kozlov, P. Žukienė</t>
  </si>
  <si>
    <t>2:03.09</t>
  </si>
  <si>
    <t>Jonas</t>
  </si>
  <si>
    <t>Beleška</t>
  </si>
  <si>
    <t>1992-09-30</t>
  </si>
  <si>
    <t>2:02.89</t>
  </si>
  <si>
    <t>Darius</t>
  </si>
  <si>
    <t>Petkevičius</t>
  </si>
  <si>
    <t>Marijampolė</t>
  </si>
  <si>
    <t>V.Komisaraitis</t>
  </si>
  <si>
    <t>Varžybų vyriausiasis sekretorius</t>
  </si>
  <si>
    <t>Alfonsas BULIUOLIS</t>
  </si>
  <si>
    <t>LIETUVOS UNIVERSITETŲ STUDENTŲ</t>
  </si>
  <si>
    <t>LENGVOSIOS ATLETIKOS</t>
  </si>
  <si>
    <t>ŽIEMOS ČEMPIONATAS</t>
  </si>
  <si>
    <t>2018 m. vasario 3 d.</t>
  </si>
  <si>
    <t xml:space="preserve">Kaunas, </t>
  </si>
  <si>
    <t>Varžybų vyriausioji teisėja</t>
  </si>
  <si>
    <t>Audra GAVELYTĖ</t>
  </si>
  <si>
    <t>Varžybų techninis delegatas</t>
  </si>
  <si>
    <t>Romas VASILIAUSKAS</t>
  </si>
  <si>
    <t>LSU Alekso Stanislovaičio lengvosios atletikos maniežas</t>
  </si>
  <si>
    <t>L</t>
  </si>
  <si>
    <t>L. Meuwly,  M.Vadeikis</t>
  </si>
  <si>
    <t>1991-12-04</t>
  </si>
  <si>
    <t>Misiūnaitė</t>
  </si>
  <si>
    <t>Eva</t>
  </si>
  <si>
    <t>200 m bėgimas moterims</t>
  </si>
  <si>
    <t>200 m bėgimas vyrams</t>
  </si>
  <si>
    <t>PB</t>
  </si>
  <si>
    <t>Gytis</t>
  </si>
  <si>
    <t>Krivickas</t>
  </si>
  <si>
    <t>1996-03-06</t>
  </si>
  <si>
    <t>Deimantas</t>
  </si>
  <si>
    <t>Špučys</t>
  </si>
  <si>
    <t>1991-04-19</t>
  </si>
  <si>
    <t>Klaipėda</t>
  </si>
  <si>
    <t>D.D.Senkai</t>
  </si>
  <si>
    <t>Mačionis</t>
  </si>
  <si>
    <t>1999-09-17</t>
  </si>
  <si>
    <t>J.Strumskytė-Razgūnė</t>
  </si>
  <si>
    <t>Olegas</t>
  </si>
  <si>
    <t>Ivanikovas</t>
  </si>
  <si>
    <t>1999-11-17</t>
  </si>
  <si>
    <t>P.Žukienė V.Kozlov</t>
  </si>
  <si>
    <t>Erikas</t>
  </si>
  <si>
    <t>Urbanovič</t>
  </si>
  <si>
    <t>1999-02-27</t>
  </si>
  <si>
    <t>DQ</t>
  </si>
  <si>
    <t>DNF</t>
  </si>
  <si>
    <t>bėgimas iš 7</t>
  </si>
  <si>
    <t>1500 m bėgimas moterims</t>
  </si>
  <si>
    <t>Evelina</t>
  </si>
  <si>
    <t>Miltenė</t>
  </si>
  <si>
    <t>1989-09-30</t>
  </si>
  <si>
    <t>J. Beržanskis, M. Norbutas</t>
  </si>
  <si>
    <t xml:space="preserve">Banga  </t>
  </si>
  <si>
    <t xml:space="preserve">Balnaitė </t>
  </si>
  <si>
    <t>1991-08-08</t>
  </si>
  <si>
    <t>Vilmantė</t>
  </si>
  <si>
    <t>Gruodytė</t>
  </si>
  <si>
    <t>1998-02-14</t>
  </si>
  <si>
    <t>J. Beržinskienė</t>
  </si>
  <si>
    <t>5:20.93</t>
  </si>
  <si>
    <t>Kristina</t>
  </si>
  <si>
    <t>Zajančkovskaja</t>
  </si>
  <si>
    <t>1993-02-05</t>
  </si>
  <si>
    <t>Z. Zenkevičius</t>
  </si>
  <si>
    <t>Alba</t>
  </si>
  <si>
    <t>Herrero Molleda</t>
  </si>
  <si>
    <t>1996-12-10</t>
  </si>
  <si>
    <t>5:08.93</t>
  </si>
  <si>
    <t>Vilija</t>
  </si>
  <si>
    <t>Parimskytė</t>
  </si>
  <si>
    <t>1997-07-09</t>
  </si>
  <si>
    <t>D. Šaučikovas</t>
  </si>
  <si>
    <t>Renata</t>
  </si>
  <si>
    <t>Butkytė</t>
  </si>
  <si>
    <t>1993-</t>
  </si>
  <si>
    <t>Šuolis į aukštį vyrams</t>
  </si>
  <si>
    <t>B a n d y m a i</t>
  </si>
  <si>
    <t>1,80</t>
  </si>
  <si>
    <t>1,85</t>
  </si>
  <si>
    <t>1,90</t>
  </si>
  <si>
    <t>1,95</t>
  </si>
  <si>
    <t>2,00</t>
  </si>
  <si>
    <t>2,04</t>
  </si>
  <si>
    <t>2,08</t>
  </si>
  <si>
    <t>2,12</t>
  </si>
  <si>
    <t>2,15</t>
  </si>
  <si>
    <t>2,20</t>
  </si>
  <si>
    <t>2,26</t>
  </si>
  <si>
    <t>Rezultas</t>
  </si>
  <si>
    <t>Adrijus</t>
  </si>
  <si>
    <t>Glebauskas</t>
  </si>
  <si>
    <t>1994-11-20</t>
  </si>
  <si>
    <t>O</t>
  </si>
  <si>
    <t>XO</t>
  </si>
  <si>
    <t>XXX</t>
  </si>
  <si>
    <t>A.Baranauskas, A.Gavelytė</t>
  </si>
  <si>
    <t>Dainius</t>
  </si>
  <si>
    <t>Pazdrazdis</t>
  </si>
  <si>
    <t>1997-12-26</t>
  </si>
  <si>
    <t>A. Gavelytė, A.Baranauskas</t>
  </si>
  <si>
    <t>Matas</t>
  </si>
  <si>
    <t>Butkus</t>
  </si>
  <si>
    <t>1998-10-28</t>
  </si>
  <si>
    <t>XXO</t>
  </si>
  <si>
    <t>V.Šilinskas, V.Butautienė</t>
  </si>
  <si>
    <t>Asauskas</t>
  </si>
  <si>
    <t>1998-09-12</t>
  </si>
  <si>
    <t>E.Jurgutis</t>
  </si>
  <si>
    <t>Juozas</t>
  </si>
  <si>
    <t>Baikštys</t>
  </si>
  <si>
    <t>1998-03-18</t>
  </si>
  <si>
    <t>Aleksas</t>
  </si>
  <si>
    <t>Vilkas</t>
  </si>
  <si>
    <t>1999-02-06</t>
  </si>
  <si>
    <t>A.Gavėnas</t>
  </si>
  <si>
    <t>Šuolis į aukštį moterims</t>
  </si>
  <si>
    <t>1.50</t>
  </si>
  <si>
    <t>1.55</t>
  </si>
  <si>
    <t>1.60</t>
  </si>
  <si>
    <t>1.65</t>
  </si>
  <si>
    <t>1.70</t>
  </si>
  <si>
    <t>1.75</t>
  </si>
  <si>
    <t>1.80</t>
  </si>
  <si>
    <t>1.82</t>
  </si>
  <si>
    <t>1.85</t>
  </si>
  <si>
    <t>1.89</t>
  </si>
  <si>
    <t>o</t>
  </si>
  <si>
    <t>xxx</t>
  </si>
  <si>
    <t>A.Tolstiks, I.Krakoviak-Tolstika, J.Baikštienė</t>
  </si>
  <si>
    <t>Pilelytė</t>
  </si>
  <si>
    <t>1998-07-25</t>
  </si>
  <si>
    <t>xxo</t>
  </si>
  <si>
    <t xml:space="preserve">Urtė </t>
  </si>
  <si>
    <t>Baikštytė</t>
  </si>
  <si>
    <t>1999-05-08</t>
  </si>
  <si>
    <t>xo</t>
  </si>
  <si>
    <t>Marmaitė</t>
  </si>
  <si>
    <t>1996-08-02</t>
  </si>
  <si>
    <t>1500 m bėgimas vyrams</t>
  </si>
  <si>
    <t>Gediminas</t>
  </si>
  <si>
    <t>Janušis</t>
  </si>
  <si>
    <t>1991-06-27</t>
  </si>
  <si>
    <t>J.Armonienė</t>
  </si>
  <si>
    <t>Rusevičius</t>
  </si>
  <si>
    <t>1997-07-16</t>
  </si>
  <si>
    <t>R. Kančys, V. Komirasaitis</t>
  </si>
  <si>
    <t>Klimavičius</t>
  </si>
  <si>
    <t>1998-12-31</t>
  </si>
  <si>
    <t>R.Norkus,V.Šmidtas</t>
  </si>
  <si>
    <t>Trišuolis vyrams</t>
  </si>
  <si>
    <t>4x200 m bėgimas moterims</t>
  </si>
  <si>
    <t>A. Tolstiks, I. Krakoviak_Tolstika, J. Baikštienė</t>
  </si>
  <si>
    <t>4x200 m bėgimas vyrams</t>
  </si>
  <si>
    <t>KTU 1</t>
  </si>
  <si>
    <t>KTU -2</t>
  </si>
  <si>
    <t>KTU-2</t>
  </si>
  <si>
    <t>KOMANDINIAI REZULTATAI:</t>
  </si>
  <si>
    <t>Komandos</t>
  </si>
  <si>
    <t>Taškai</t>
  </si>
  <si>
    <t>16914</t>
  </si>
  <si>
    <t>15282</t>
  </si>
  <si>
    <t>14329</t>
  </si>
  <si>
    <t>13508</t>
  </si>
  <si>
    <t>7539</t>
  </si>
  <si>
    <t>7108</t>
  </si>
  <si>
    <t>5808</t>
  </si>
  <si>
    <t>5327</t>
  </si>
  <si>
    <t>4511</t>
  </si>
  <si>
    <t>2428</t>
  </si>
  <si>
    <t>1006</t>
  </si>
  <si>
    <t>678</t>
  </si>
  <si>
    <t>V.Kazlauskas D.Jankauskaitė</t>
  </si>
  <si>
    <t xml:space="preserve">Kaunas </t>
  </si>
  <si>
    <t>1998-12-05</t>
  </si>
  <si>
    <t>Kuzmickaitė</t>
  </si>
  <si>
    <t xml:space="preserve">Aušrinė </t>
  </si>
  <si>
    <t>V Kazlauskas D.Tamulevičius</t>
  </si>
  <si>
    <t>1996-06-01</t>
  </si>
  <si>
    <t>Vainaitė</t>
  </si>
  <si>
    <t>Įspėjimai</t>
  </si>
  <si>
    <t>3000 m sportinis ėjimas moterims</t>
  </si>
</sst>
</file>

<file path=xl/styles.xml><?xml version="1.0" encoding="utf-8"?>
<styleSheet xmlns="http://schemas.openxmlformats.org/spreadsheetml/2006/main">
  <numFmts count="25">
    <numFmt numFmtId="44" formatCode="_-* #,##0.00\ &quot;Lt&quot;_-;\-* #,##0.00\ &quot;Lt&quot;_-;_-* &quot;-&quot;??\ &quot;Lt&quot;_-;_-@_-"/>
    <numFmt numFmtId="164" formatCode="_-* #,##0.00\ _€_-;\-* #,##0.00\ _€_-;_-* &quot;-&quot;??\ _€_-;_-@_-"/>
    <numFmt numFmtId="165" formatCode="0.000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yyyy\-mm\-dd;@"/>
    <numFmt numFmtId="177" formatCode="m:ss.00"/>
    <numFmt numFmtId="178" formatCode="[$-FC27]yyyy\ &quot;m.&quot;\ mmmm\ d\ &quot;d.&quot;;@"/>
    <numFmt numFmtId="179" formatCode="[m]:ss.00"/>
    <numFmt numFmtId="180" formatCode="hh:mm;@"/>
    <numFmt numFmtId="181" formatCode="0.0"/>
    <numFmt numFmtId="182" formatCode="0%;\(0%\)"/>
    <numFmt numFmtId="183" formatCode="\ \ @"/>
    <numFmt numFmtId="184" formatCode="\ \ \ \ @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ss.00"/>
  </numFmts>
  <fonts count="74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Times New Roman"/>
      <family val="1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6"/>
      <name val="Times New Roman"/>
      <family val="1"/>
    </font>
    <font>
      <b/>
      <sz val="12"/>
      <name val="Times New Roman"/>
      <family val="1"/>
      <charset val="186"/>
    </font>
    <font>
      <sz val="6"/>
      <name val="Times New Roman"/>
      <family val="1"/>
      <charset val="186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  <charset val="186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HelveticaLT"/>
      <charset val="186"/>
    </font>
    <font>
      <sz val="10"/>
      <color indexed="10"/>
      <name val="Arial"/>
      <family val="2"/>
    </font>
    <font>
      <sz val="10"/>
      <name val="Arial Cyr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9"/>
      <name val="Times New Roman"/>
      <family val="1"/>
      <charset val="186"/>
    </font>
    <font>
      <sz val="10"/>
      <color indexed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  <charset val="186"/>
    </font>
    <font>
      <sz val="9"/>
      <name val="Times New Roman"/>
      <family val="1"/>
      <charset val="204"/>
    </font>
    <font>
      <b/>
      <sz val="15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9"/>
      <name val="Times New Roman"/>
      <family val="1"/>
    </font>
    <font>
      <sz val="11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250">
    <xf numFmtId="0" fontId="0" fillId="0" borderId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59" fillId="3" borderId="0" applyNumberFormat="0" applyBorder="0" applyAlignment="0" applyProtection="0"/>
    <xf numFmtId="166" fontId="17" fillId="0" borderId="0" applyFill="0" applyBorder="0" applyAlignment="0"/>
    <xf numFmtId="167" fontId="17" fillId="0" borderId="0" applyFill="0" applyBorder="0" applyAlignment="0"/>
    <xf numFmtId="168" fontId="17" fillId="0" borderId="0" applyFill="0" applyBorder="0" applyAlignment="0"/>
    <xf numFmtId="169" fontId="17" fillId="0" borderId="0" applyFill="0" applyBorder="0" applyAlignment="0"/>
    <xf numFmtId="170" fontId="17" fillId="0" borderId="0" applyFill="0" applyBorder="0" applyAlignment="0"/>
    <xf numFmtId="166" fontId="17" fillId="0" borderId="0" applyFill="0" applyBorder="0" applyAlignment="0"/>
    <xf numFmtId="171" fontId="17" fillId="0" borderId="0" applyFill="0" applyBorder="0" applyAlignment="0"/>
    <xf numFmtId="167" fontId="17" fillId="0" borderId="0" applyFill="0" applyBorder="0" applyAlignment="0"/>
    <xf numFmtId="0" fontId="60" fillId="20" borderId="4" applyNumberFormat="0" applyAlignment="0" applyProtection="0"/>
    <xf numFmtId="0" fontId="61" fillId="21" borderId="5" applyNumberFormat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17" fillId="0" borderId="0" applyFill="0" applyBorder="0" applyAlignment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9" fillId="0" borderId="0" applyFill="0" applyBorder="0" applyAlignment="0"/>
    <xf numFmtId="167" fontId="19" fillId="0" borderId="0" applyFill="0" applyBorder="0" applyAlignment="0"/>
    <xf numFmtId="166" fontId="19" fillId="0" borderId="0" applyFill="0" applyBorder="0" applyAlignment="0"/>
    <xf numFmtId="171" fontId="19" fillId="0" borderId="0" applyFill="0" applyBorder="0" applyAlignment="0"/>
    <xf numFmtId="167" fontId="19" fillId="0" borderId="0" applyFill="0" applyBorder="0" applyAlignment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38" fontId="20" fillId="22" borderId="0" applyNumberFormat="0" applyBorder="0" applyAlignment="0" applyProtection="0"/>
    <xf numFmtId="0" fontId="21" fillId="0" borderId="6" applyNumberFormat="0" applyAlignment="0" applyProtection="0">
      <alignment horizontal="left" vertical="center"/>
    </xf>
    <xf numFmtId="0" fontId="21" fillId="0" borderId="7">
      <alignment horizontal="left" vertical="center"/>
    </xf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0" fontId="20" fillId="23" borderId="8" applyNumberFormat="0" applyBorder="0" applyAlignment="0" applyProtection="0"/>
    <xf numFmtId="0" fontId="62" fillId="7" borderId="4" applyNumberFormat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 applyNumberFormat="0" applyFill="0" applyBorder="0" applyAlignment="0" applyProtection="0"/>
    <xf numFmtId="0" fontId="46" fillId="20" borderId="9" applyNumberFormat="0" applyAlignment="0" applyProtection="0"/>
    <xf numFmtId="166" fontId="23" fillId="0" borderId="0" applyFill="0" applyBorder="0" applyAlignment="0"/>
    <xf numFmtId="167" fontId="23" fillId="0" borderId="0" applyFill="0" applyBorder="0" applyAlignment="0"/>
    <xf numFmtId="166" fontId="23" fillId="0" borderId="0" applyFill="0" applyBorder="0" applyAlignment="0"/>
    <xf numFmtId="171" fontId="23" fillId="0" borderId="0" applyFill="0" applyBorder="0" applyAlignment="0"/>
    <xf numFmtId="167" fontId="23" fillId="0" borderId="0" applyFill="0" applyBorder="0" applyAlignment="0"/>
    <xf numFmtId="0" fontId="63" fillId="0" borderId="10" applyNumberFormat="0" applyFill="0" applyAlignment="0" applyProtection="0"/>
    <xf numFmtId="0" fontId="64" fillId="24" borderId="0" applyNumberFormat="0" applyBorder="0" applyAlignment="0" applyProtection="0"/>
    <xf numFmtId="175" fontId="24" fillId="0" borderId="0"/>
    <xf numFmtId="0" fontId="1" fillId="0" borderId="0"/>
    <xf numFmtId="176" fontId="25" fillId="0" borderId="0"/>
    <xf numFmtId="0" fontId="1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" fillId="0" borderId="0"/>
    <xf numFmtId="176" fontId="25" fillId="0" borderId="0"/>
    <xf numFmtId="176" fontId="25" fillId="0" borderId="0"/>
    <xf numFmtId="0" fontId="1" fillId="0" borderId="0"/>
    <xf numFmtId="0" fontId="1" fillId="0" borderId="0"/>
    <xf numFmtId="176" fontId="25" fillId="0" borderId="0"/>
    <xf numFmtId="176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176" fontId="25" fillId="0" borderId="0"/>
    <xf numFmtId="0" fontId="18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176" fontId="25" fillId="0" borderId="0"/>
    <xf numFmtId="0" fontId="1" fillId="0" borderId="0"/>
    <xf numFmtId="176" fontId="25" fillId="0" borderId="0"/>
    <xf numFmtId="0" fontId="18" fillId="0" borderId="0"/>
    <xf numFmtId="176" fontId="25" fillId="0" borderId="0"/>
    <xf numFmtId="0" fontId="18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" fillId="0" borderId="0"/>
    <xf numFmtId="176" fontId="25" fillId="0" borderId="0"/>
    <xf numFmtId="0" fontId="1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" fillId="0" borderId="0"/>
    <xf numFmtId="0" fontId="1" fillId="0" borderId="0"/>
    <xf numFmtId="0" fontId="1" fillId="0" borderId="0"/>
    <xf numFmtId="176" fontId="25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6" fontId="1" fillId="0" borderId="0"/>
    <xf numFmtId="178" fontId="1" fillId="0" borderId="0"/>
    <xf numFmtId="176" fontId="25" fillId="0" borderId="0"/>
    <xf numFmtId="176" fontId="1" fillId="0" borderId="0"/>
    <xf numFmtId="176" fontId="1" fillId="0" borderId="0"/>
    <xf numFmtId="176" fontId="1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1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69" fontId="25" fillId="0" borderId="0"/>
    <xf numFmtId="16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69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8" fontId="25" fillId="0" borderId="0"/>
    <xf numFmtId="178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8" fontId="25" fillId="0" borderId="0"/>
    <xf numFmtId="178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8" fontId="25" fillId="0" borderId="0"/>
    <xf numFmtId="178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5" fontId="25" fillId="0" borderId="0"/>
    <xf numFmtId="179" fontId="25" fillId="0" borderId="0"/>
    <xf numFmtId="179" fontId="25" fillId="0" borderId="0"/>
    <xf numFmtId="175" fontId="25" fillId="0" borderId="0"/>
    <xf numFmtId="175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178" fontId="25" fillId="0" borderId="0"/>
    <xf numFmtId="178" fontId="25" fillId="0" borderId="0"/>
    <xf numFmtId="178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8" fontId="25" fillId="0" borderId="0"/>
    <xf numFmtId="178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8" fontId="25" fillId="0" borderId="0"/>
    <xf numFmtId="176" fontId="25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76" fontId="1" fillId="0" borderId="0"/>
    <xf numFmtId="176" fontId="1" fillId="0" borderId="0"/>
    <xf numFmtId="21" fontId="1" fillId="0" borderId="0"/>
    <xf numFmtId="176" fontId="1" fillId="0" borderId="0"/>
    <xf numFmtId="176" fontId="1" fillId="0" borderId="0"/>
    <xf numFmtId="176" fontId="1" fillId="0" borderId="0"/>
    <xf numFmtId="21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7" fillId="0" borderId="0"/>
    <xf numFmtId="0" fontId="18" fillId="0" borderId="0"/>
    <xf numFmtId="0" fontId="18" fillId="0" borderId="0"/>
    <xf numFmtId="0" fontId="73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21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0" fontId="18" fillId="0" borderId="0"/>
    <xf numFmtId="176" fontId="25" fillId="0" borderId="0"/>
    <xf numFmtId="0" fontId="18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76" fontId="25" fillId="0" borderId="0"/>
    <xf numFmtId="0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176" fontId="25" fillId="0" borderId="0"/>
    <xf numFmtId="0" fontId="25" fillId="0" borderId="0"/>
    <xf numFmtId="0" fontId="25" fillId="0" borderId="0"/>
    <xf numFmtId="176" fontId="25" fillId="0" borderId="0"/>
    <xf numFmtId="176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6" fontId="25" fillId="0" borderId="0"/>
    <xf numFmtId="176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25" borderId="11" applyNumberFormat="0" applyFont="0" applyAlignment="0" applyProtection="0"/>
    <xf numFmtId="0" fontId="46" fillId="20" borderId="9" applyNumberFormat="0" applyAlignment="0" applyProtection="0"/>
    <xf numFmtId="0" fontId="1" fillId="0" borderId="0"/>
    <xf numFmtId="0" fontId="28" fillId="0" borderId="0" applyAlignment="0"/>
    <xf numFmtId="0" fontId="48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0" fontId="1" fillId="0" borderId="0" applyFont="0" applyFill="0" applyBorder="0" applyAlignment="0" applyProtection="0"/>
    <xf numFmtId="166" fontId="29" fillId="0" borderId="0" applyFill="0" applyBorder="0" applyAlignment="0"/>
    <xf numFmtId="167" fontId="29" fillId="0" borderId="0" applyFill="0" applyBorder="0" applyAlignment="0"/>
    <xf numFmtId="166" fontId="29" fillId="0" borderId="0" applyFill="0" applyBorder="0" applyAlignment="0"/>
    <xf numFmtId="171" fontId="29" fillId="0" borderId="0" applyFill="0" applyBorder="0" applyAlignment="0"/>
    <xf numFmtId="167" fontId="29" fillId="0" borderId="0" applyFill="0" applyBorder="0" applyAlignment="0"/>
    <xf numFmtId="0" fontId="49" fillId="0" borderId="12" applyNumberFormat="0" applyFill="0" applyAlignment="0" applyProtection="0"/>
    <xf numFmtId="49" fontId="17" fillId="0" borderId="0" applyFill="0" applyBorder="0" applyAlignment="0"/>
    <xf numFmtId="183" fontId="17" fillId="0" borderId="0" applyFill="0" applyBorder="0" applyAlignment="0"/>
    <xf numFmtId="184" fontId="17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/>
  </cellStyleXfs>
  <cellXfs count="503">
    <xf numFmtId="0" fontId="0" fillId="0" borderId="0" xfId="0"/>
    <xf numFmtId="0" fontId="2" fillId="0" borderId="0" xfId="153" applyFont="1" applyFill="1"/>
    <xf numFmtId="0" fontId="3" fillId="0" borderId="0" xfId="153" applyFont="1" applyFill="1"/>
    <xf numFmtId="49" fontId="3" fillId="0" borderId="0" xfId="153" applyNumberFormat="1" applyFont="1" applyFill="1"/>
    <xf numFmtId="0" fontId="3" fillId="0" borderId="0" xfId="153" applyNumberFormat="1" applyFont="1" applyFill="1" applyAlignment="1">
      <alignment horizontal="center"/>
    </xf>
    <xf numFmtId="1" fontId="3" fillId="0" borderId="0" xfId="153" applyNumberFormat="1" applyFont="1" applyFill="1" applyAlignment="1">
      <alignment horizontal="center"/>
    </xf>
    <xf numFmtId="2" fontId="3" fillId="0" borderId="0" xfId="153" applyNumberFormat="1" applyFont="1" applyFill="1"/>
    <xf numFmtId="165" fontId="3" fillId="0" borderId="0" xfId="153" applyNumberFormat="1" applyFont="1" applyFill="1"/>
    <xf numFmtId="0" fontId="3" fillId="0" borderId="0" xfId="892" applyFont="1" applyFill="1" applyAlignment="1">
      <alignment horizontal="right"/>
    </xf>
    <xf numFmtId="0" fontId="4" fillId="0" borderId="0" xfId="892" applyFont="1" applyFill="1" applyBorder="1"/>
    <xf numFmtId="0" fontId="3" fillId="0" borderId="0" xfId="153" applyFont="1"/>
    <xf numFmtId="0" fontId="5" fillId="0" borderId="0" xfId="153" applyFont="1" applyFill="1" applyAlignment="1">
      <alignment horizontal="right"/>
    </xf>
    <xf numFmtId="0" fontId="6" fillId="0" borderId="0" xfId="153" applyFont="1" applyFill="1"/>
    <xf numFmtId="0" fontId="7" fillId="0" borderId="0" xfId="153" applyFont="1" applyFill="1"/>
    <xf numFmtId="49" fontId="8" fillId="0" borderId="0" xfId="153" applyNumberFormat="1" applyFont="1" applyFill="1"/>
    <xf numFmtId="0" fontId="8" fillId="0" borderId="0" xfId="153" applyNumberFormat="1" applyFont="1" applyFill="1"/>
    <xf numFmtId="1" fontId="4" fillId="0" borderId="0" xfId="153" applyNumberFormat="1" applyFont="1" applyFill="1"/>
    <xf numFmtId="2" fontId="9" fillId="0" borderId="0" xfId="153" applyNumberFormat="1" applyFont="1" applyFill="1"/>
    <xf numFmtId="165" fontId="10" fillId="0" borderId="0" xfId="153" applyNumberFormat="1" applyFont="1" applyFill="1"/>
    <xf numFmtId="49" fontId="10" fillId="0" borderId="0" xfId="153" applyNumberFormat="1" applyFont="1" applyFill="1" applyAlignment="1">
      <alignment horizontal="center"/>
    </xf>
    <xf numFmtId="0" fontId="11" fillId="0" borderId="0" xfId="153" applyFont="1" applyFill="1"/>
    <xf numFmtId="0" fontId="6" fillId="0" borderId="0" xfId="892" applyFont="1" applyFill="1" applyAlignment="1">
      <alignment horizontal="right"/>
    </xf>
    <xf numFmtId="0" fontId="6" fillId="0" borderId="0" xfId="153" applyFont="1"/>
    <xf numFmtId="0" fontId="10" fillId="0" borderId="0" xfId="153" applyFont="1" applyFill="1"/>
    <xf numFmtId="0" fontId="12" fillId="0" borderId="0" xfId="153" applyFont="1" applyFill="1"/>
    <xf numFmtId="49" fontId="9" fillId="0" borderId="0" xfId="153" applyNumberFormat="1" applyFont="1" applyFill="1"/>
    <xf numFmtId="0" fontId="9" fillId="0" borderId="0" xfId="153" applyNumberFormat="1" applyFont="1" applyFill="1"/>
    <xf numFmtId="1" fontId="10" fillId="0" borderId="0" xfId="153" applyNumberFormat="1" applyFont="1" applyFill="1"/>
    <xf numFmtId="49" fontId="10" fillId="0" borderId="0" xfId="153" applyNumberFormat="1" applyFont="1" applyFill="1"/>
    <xf numFmtId="49" fontId="5" fillId="0" borderId="0" xfId="153" applyNumberFormat="1" applyFont="1" applyFill="1" applyAlignment="1">
      <alignment horizontal="right"/>
    </xf>
    <xf numFmtId="0" fontId="10" fillId="0" borderId="0" xfId="892" applyFont="1" applyFill="1" applyAlignment="1">
      <alignment horizontal="right"/>
    </xf>
    <xf numFmtId="0" fontId="1" fillId="0" borderId="0" xfId="153" applyFont="1"/>
    <xf numFmtId="0" fontId="13" fillId="0" borderId="0" xfId="153" applyFont="1" applyFill="1"/>
    <xf numFmtId="0" fontId="14" fillId="0" borderId="0" xfId="153" applyFont="1" applyFill="1"/>
    <xf numFmtId="49" fontId="14" fillId="0" borderId="0" xfId="153" applyNumberFormat="1" applyFont="1" applyFill="1"/>
    <xf numFmtId="0" fontId="14" fillId="0" borderId="0" xfId="153" applyNumberFormat="1" applyFont="1" applyFill="1" applyAlignment="1">
      <alignment horizontal="left"/>
    </xf>
    <xf numFmtId="49" fontId="15" fillId="0" borderId="0" xfId="153" applyNumberFormat="1" applyFont="1" applyFill="1"/>
    <xf numFmtId="0" fontId="15" fillId="0" borderId="0" xfId="153" applyNumberFormat="1" applyFont="1" applyFill="1"/>
    <xf numFmtId="2" fontId="4" fillId="0" borderId="0" xfId="153" applyNumberFormat="1" applyFont="1" applyFill="1"/>
    <xf numFmtId="0" fontId="3" fillId="0" borderId="8" xfId="153" applyFont="1" applyFill="1" applyBorder="1" applyAlignment="1">
      <alignment horizontal="center" vertical="center"/>
    </xf>
    <xf numFmtId="0" fontId="3" fillId="0" borderId="13" xfId="153" applyFont="1" applyFill="1" applyBorder="1" applyAlignment="1">
      <alignment horizontal="center" vertical="center"/>
    </xf>
    <xf numFmtId="0" fontId="3" fillId="0" borderId="13" xfId="153" applyFont="1" applyFill="1" applyBorder="1" applyAlignment="1">
      <alignment horizontal="right" vertical="center"/>
    </xf>
    <xf numFmtId="0" fontId="3" fillId="0" borderId="14" xfId="153" applyFont="1" applyFill="1" applyBorder="1" applyAlignment="1">
      <alignment horizontal="left" vertical="center"/>
    </xf>
    <xf numFmtId="49" fontId="3" fillId="0" borderId="14" xfId="153" applyNumberFormat="1" applyFont="1" applyFill="1" applyBorder="1" applyAlignment="1">
      <alignment horizontal="center" vertical="center"/>
    </xf>
    <xf numFmtId="0" fontId="3" fillId="0" borderId="8" xfId="153" applyNumberFormat="1" applyFont="1" applyFill="1" applyBorder="1" applyAlignment="1">
      <alignment horizontal="center" vertical="center"/>
    </xf>
    <xf numFmtId="1" fontId="9" fillId="0" borderId="8" xfId="153" applyNumberFormat="1" applyFont="1" applyFill="1" applyBorder="1" applyAlignment="1">
      <alignment horizontal="center" vertical="center"/>
    </xf>
    <xf numFmtId="2" fontId="9" fillId="0" borderId="8" xfId="153" applyNumberFormat="1" applyFont="1" applyFill="1" applyBorder="1" applyAlignment="1">
      <alignment horizontal="center" vertical="center"/>
    </xf>
    <xf numFmtId="165" fontId="9" fillId="0" borderId="8" xfId="153" applyNumberFormat="1" applyFont="1" applyFill="1" applyBorder="1" applyAlignment="1">
      <alignment horizontal="center" vertical="center"/>
    </xf>
    <xf numFmtId="49" fontId="9" fillId="0" borderId="8" xfId="153" applyNumberFormat="1" applyFont="1" applyFill="1" applyBorder="1" applyAlignment="1">
      <alignment horizontal="center" vertical="center" wrapText="1"/>
    </xf>
    <xf numFmtId="0" fontId="4" fillId="0" borderId="0" xfId="892" applyFont="1" applyFill="1" applyAlignment="1">
      <alignment horizontal="right"/>
    </xf>
    <xf numFmtId="0" fontId="4" fillId="0" borderId="0" xfId="892" applyFont="1" applyFill="1" applyBorder="1" applyAlignment="1">
      <alignment horizontal="center" vertical="center"/>
    </xf>
    <xf numFmtId="0" fontId="10" fillId="0" borderId="15" xfId="153" applyFont="1" applyFill="1" applyBorder="1" applyAlignment="1">
      <alignment horizontal="center" vertical="center"/>
    </xf>
    <xf numFmtId="0" fontId="10" fillId="0" borderId="16" xfId="153" applyFont="1" applyFill="1" applyBorder="1" applyAlignment="1">
      <alignment horizontal="center" vertical="center"/>
    </xf>
    <xf numFmtId="0" fontId="10" fillId="0" borderId="16" xfId="153" applyFont="1" applyFill="1" applyBorder="1" applyAlignment="1">
      <alignment horizontal="right" vertical="center"/>
    </xf>
    <xf numFmtId="0" fontId="3" fillId="0" borderId="17" xfId="153" applyFont="1" applyFill="1" applyBorder="1" applyAlignment="1">
      <alignment horizontal="left" vertical="center"/>
    </xf>
    <xf numFmtId="49" fontId="4" fillId="0" borderId="18" xfId="153" applyNumberFormat="1" applyFont="1" applyFill="1" applyBorder="1" applyAlignment="1">
      <alignment horizontal="left" vertical="center"/>
    </xf>
    <xf numFmtId="0" fontId="16" fillId="0" borderId="18" xfId="153" applyNumberFormat="1" applyFont="1" applyFill="1" applyBorder="1" applyAlignment="1">
      <alignment horizontal="left" vertical="center"/>
    </xf>
    <xf numFmtId="1" fontId="10" fillId="0" borderId="19" xfId="153" applyNumberFormat="1" applyFont="1" applyFill="1" applyBorder="1" applyAlignment="1">
      <alignment horizontal="center" vertical="center"/>
    </xf>
    <xf numFmtId="2" fontId="3" fillId="0" borderId="17" xfId="153" applyNumberFormat="1" applyFont="1" applyFill="1" applyBorder="1" applyAlignment="1">
      <alignment horizontal="center" vertical="center"/>
    </xf>
    <xf numFmtId="165" fontId="16" fillId="0" borderId="18" xfId="153" applyNumberFormat="1" applyFont="1" applyFill="1" applyBorder="1" applyAlignment="1">
      <alignment horizontal="center" vertical="center"/>
    </xf>
    <xf numFmtId="2" fontId="3" fillId="0" borderId="18" xfId="153" applyNumberFormat="1" applyFont="1" applyFill="1" applyBorder="1" applyAlignment="1">
      <alignment horizontal="center" vertical="center"/>
    </xf>
    <xf numFmtId="0" fontId="4" fillId="0" borderId="8" xfId="153" applyFont="1" applyFill="1" applyBorder="1" applyAlignment="1">
      <alignment horizontal="left" vertical="center"/>
    </xf>
    <xf numFmtId="2" fontId="4" fillId="0" borderId="0" xfId="892" applyNumberFormat="1" applyFont="1" applyFill="1" applyAlignment="1">
      <alignment horizontal="right" vertical="center"/>
    </xf>
    <xf numFmtId="0" fontId="1" fillId="0" borderId="0" xfId="153" applyFont="1" applyAlignment="1">
      <alignment vertical="center"/>
    </xf>
    <xf numFmtId="49" fontId="4" fillId="0" borderId="0" xfId="153" applyNumberFormat="1" applyFont="1" applyFill="1"/>
    <xf numFmtId="0" fontId="4" fillId="0" borderId="0" xfId="153" applyNumberFormat="1" applyFont="1" applyFill="1"/>
    <xf numFmtId="2" fontId="31" fillId="0" borderId="0" xfId="153" applyNumberFormat="1" applyFont="1" applyFill="1"/>
    <xf numFmtId="165" fontId="31" fillId="0" borderId="0" xfId="153" applyNumberFormat="1" applyFont="1" applyFill="1"/>
    <xf numFmtId="0" fontId="32" fillId="0" borderId="0" xfId="153" applyFont="1" applyFill="1" applyAlignment="1">
      <alignment horizontal="right"/>
    </xf>
    <xf numFmtId="0" fontId="32" fillId="0" borderId="0" xfId="153" applyFont="1" applyFill="1"/>
    <xf numFmtId="0" fontId="1" fillId="0" borderId="0" xfId="153" applyFont="1" applyFill="1"/>
    <xf numFmtId="1" fontId="15" fillId="0" borderId="0" xfId="153" applyNumberFormat="1" applyFont="1" applyFill="1"/>
    <xf numFmtId="2" fontId="8" fillId="0" borderId="0" xfId="153" applyNumberFormat="1" applyFont="1" applyFill="1"/>
    <xf numFmtId="165" fontId="6" fillId="0" borderId="0" xfId="153" applyNumberFormat="1" applyFont="1" applyFill="1"/>
    <xf numFmtId="49" fontId="6" fillId="0" borderId="0" xfId="153" applyNumberFormat="1" applyFont="1" applyFill="1" applyAlignment="1">
      <alignment horizontal="center"/>
    </xf>
    <xf numFmtId="0" fontId="33" fillId="0" borderId="0" xfId="153" applyFont="1" applyFill="1" applyAlignment="1">
      <alignment horizontal="right"/>
    </xf>
    <xf numFmtId="0" fontId="33" fillId="0" borderId="0" xfId="153" applyFont="1" applyFill="1"/>
    <xf numFmtId="2" fontId="15" fillId="0" borderId="0" xfId="153" applyNumberFormat="1" applyFont="1" applyFill="1"/>
    <xf numFmtId="0" fontId="3" fillId="0" borderId="8" xfId="153" applyFont="1" applyFill="1" applyBorder="1" applyAlignment="1">
      <alignment horizontal="right" vertical="center"/>
    </xf>
    <xf numFmtId="0" fontId="3" fillId="0" borderId="8" xfId="153" applyFont="1" applyFill="1" applyBorder="1" applyAlignment="1">
      <alignment horizontal="left" vertical="center"/>
    </xf>
    <xf numFmtId="49" fontId="3" fillId="0" borderId="8" xfId="153" applyNumberFormat="1" applyFont="1" applyFill="1" applyBorder="1" applyAlignment="1">
      <alignment horizontal="center" vertical="center"/>
    </xf>
    <xf numFmtId="2" fontId="8" fillId="0" borderId="8" xfId="153" applyNumberFormat="1" applyFont="1" applyFill="1" applyBorder="1" applyAlignment="1">
      <alignment horizontal="center" vertical="center"/>
    </xf>
    <xf numFmtId="165" fontId="8" fillId="0" borderId="8" xfId="153" applyNumberFormat="1" applyFont="1" applyFill="1" applyBorder="1" applyAlignment="1">
      <alignment horizontal="center" vertical="center"/>
    </xf>
    <xf numFmtId="0" fontId="33" fillId="0" borderId="0" xfId="153" applyFont="1" applyFill="1" applyBorder="1" applyAlignment="1">
      <alignment horizontal="center" vertical="center"/>
    </xf>
    <xf numFmtId="0" fontId="16" fillId="0" borderId="16" xfId="153" applyNumberFormat="1" applyFont="1" applyFill="1" applyBorder="1" applyAlignment="1">
      <alignment horizontal="left" vertical="center"/>
    </xf>
    <xf numFmtId="1" fontId="6" fillId="0" borderId="8" xfId="153" applyNumberFormat="1" applyFont="1" applyFill="1" applyBorder="1" applyAlignment="1">
      <alignment horizontal="center" vertical="center"/>
    </xf>
    <xf numFmtId="2" fontId="31" fillId="0" borderId="8" xfId="153" applyNumberFormat="1" applyFont="1" applyFill="1" applyBorder="1" applyAlignment="1">
      <alignment horizontal="center" vertical="center"/>
    </xf>
    <xf numFmtId="165" fontId="34" fillId="0" borderId="17" xfId="153" applyNumberFormat="1" applyFont="1" applyFill="1" applyBorder="1" applyAlignment="1">
      <alignment horizontal="center" vertical="center"/>
    </xf>
    <xf numFmtId="2" fontId="3" fillId="0" borderId="8" xfId="153" applyNumberFormat="1" applyFont="1" applyFill="1" applyBorder="1" applyAlignment="1">
      <alignment horizontal="center" vertical="center"/>
    </xf>
    <xf numFmtId="49" fontId="31" fillId="0" borderId="18" xfId="153" applyNumberFormat="1" applyFont="1" applyFill="1" applyBorder="1" applyAlignment="1">
      <alignment horizontal="center" vertical="center"/>
    </xf>
    <xf numFmtId="49" fontId="33" fillId="0" borderId="0" xfId="153" applyNumberFormat="1" applyFont="1" applyFill="1" applyAlignment="1">
      <alignment horizontal="right" vertical="center"/>
    </xf>
    <xf numFmtId="0" fontId="10" fillId="0" borderId="0" xfId="153" applyFont="1" applyFill="1" applyAlignment="1">
      <alignment vertical="center"/>
    </xf>
    <xf numFmtId="0" fontId="1" fillId="0" borderId="0" xfId="153" applyFont="1" applyFill="1" applyAlignment="1">
      <alignment vertical="center"/>
    </xf>
    <xf numFmtId="0" fontId="6" fillId="0" borderId="0" xfId="153" applyFont="1" applyFill="1" applyAlignment="1">
      <alignment horizontal="center" vertical="center"/>
    </xf>
    <xf numFmtId="0" fontId="31" fillId="0" borderId="0" xfId="153" applyFont="1" applyFill="1"/>
    <xf numFmtId="2" fontId="6" fillId="0" borderId="0" xfId="153" applyNumberFormat="1" applyFont="1" applyFill="1" applyAlignment="1">
      <alignment horizontal="center"/>
    </xf>
    <xf numFmtId="0" fontId="6" fillId="0" borderId="0" xfId="153" applyFont="1" applyFill="1" applyAlignment="1">
      <alignment horizontal="center"/>
    </xf>
    <xf numFmtId="1" fontId="6" fillId="0" borderId="0" xfId="153" applyNumberFormat="1" applyFont="1" applyFill="1"/>
    <xf numFmtId="0" fontId="6" fillId="0" borderId="0" xfId="153" applyNumberFormat="1" applyFont="1" applyFill="1"/>
    <xf numFmtId="0" fontId="6" fillId="0" borderId="0" xfId="153" applyFont="1" applyFill="1" applyAlignment="1">
      <alignment vertical="center"/>
    </xf>
    <xf numFmtId="0" fontId="15" fillId="0" borderId="0" xfId="153" applyFont="1" applyFill="1" applyAlignment="1">
      <alignment horizontal="center" vertical="center"/>
    </xf>
    <xf numFmtId="0" fontId="15" fillId="0" borderId="8" xfId="153" applyFont="1" applyFill="1" applyBorder="1" applyAlignment="1">
      <alignment vertical="center"/>
    </xf>
    <xf numFmtId="2" fontId="6" fillId="0" borderId="8" xfId="153" applyNumberFormat="1" applyFont="1" applyFill="1" applyBorder="1" applyAlignment="1">
      <alignment horizontal="center" vertical="center"/>
    </xf>
    <xf numFmtId="1" fontId="15" fillId="0" borderId="8" xfId="153" applyNumberFormat="1" applyFont="1" applyFill="1" applyBorder="1" applyAlignment="1">
      <alignment horizontal="center" vertical="center"/>
    </xf>
    <xf numFmtId="1" fontId="35" fillId="0" borderId="8" xfId="153" applyNumberFormat="1" applyFont="1" applyFill="1" applyBorder="1" applyAlignment="1">
      <alignment horizontal="center" vertical="center"/>
    </xf>
    <xf numFmtId="0" fontId="15" fillId="0" borderId="8" xfId="153" applyNumberFormat="1" applyFont="1" applyFill="1" applyBorder="1" applyAlignment="1">
      <alignment horizontal="left" vertical="center"/>
    </xf>
    <xf numFmtId="49" fontId="15" fillId="0" borderId="8" xfId="153" applyNumberFormat="1" applyFont="1" applyFill="1" applyBorder="1" applyAlignment="1">
      <alignment horizontal="center" vertical="center"/>
    </xf>
    <xf numFmtId="0" fontId="31" fillId="0" borderId="14" xfId="153" applyFont="1" applyFill="1" applyBorder="1" applyAlignment="1">
      <alignment horizontal="left" vertical="center"/>
    </xf>
    <xf numFmtId="0" fontId="6" fillId="0" borderId="13" xfId="153" applyFont="1" applyFill="1" applyBorder="1" applyAlignment="1">
      <alignment horizontal="right" vertical="center"/>
    </xf>
    <xf numFmtId="0" fontId="6" fillId="0" borderId="8" xfId="153" applyFont="1" applyFill="1" applyBorder="1" applyAlignment="1">
      <alignment horizontal="center" vertical="center"/>
    </xf>
    <xf numFmtId="0" fontId="6" fillId="0" borderId="8" xfId="178" applyNumberFormat="1" applyFont="1" applyFill="1" applyBorder="1" applyAlignment="1">
      <alignment horizontal="center" vertical="center"/>
    </xf>
    <xf numFmtId="0" fontId="31" fillId="0" borderId="20" xfId="153" applyFont="1" applyFill="1" applyBorder="1" applyAlignment="1">
      <alignment horizontal="center" vertical="center"/>
    </xf>
    <xf numFmtId="1" fontId="31" fillId="0" borderId="8" xfId="153" applyNumberFormat="1" applyFont="1" applyFill="1" applyBorder="1" applyAlignment="1">
      <alignment horizontal="center" vertical="center"/>
    </xf>
    <xf numFmtId="1" fontId="8" fillId="0" borderId="8" xfId="153" applyNumberFormat="1" applyFont="1" applyFill="1" applyBorder="1" applyAlignment="1">
      <alignment horizontal="center" vertical="center"/>
    </xf>
    <xf numFmtId="1" fontId="31" fillId="0" borderId="20" xfId="153" applyNumberFormat="1" applyFont="1" applyFill="1" applyBorder="1" applyAlignment="1">
      <alignment horizontal="center" vertical="center"/>
    </xf>
    <xf numFmtId="0" fontId="31" fillId="0" borderId="20" xfId="153" applyNumberFormat="1" applyFont="1" applyFill="1" applyBorder="1" applyAlignment="1">
      <alignment horizontal="center" vertical="center"/>
    </xf>
    <xf numFmtId="49" fontId="31" fillId="0" borderId="20" xfId="153" applyNumberFormat="1" applyFont="1" applyFill="1" applyBorder="1" applyAlignment="1">
      <alignment horizontal="center" vertical="center"/>
    </xf>
    <xf numFmtId="0" fontId="31" fillId="0" borderId="21" xfId="153" applyFont="1" applyFill="1" applyBorder="1" applyAlignment="1">
      <alignment horizontal="left" vertical="center"/>
    </xf>
    <xf numFmtId="0" fontId="31" fillId="0" borderId="22" xfId="153" applyFont="1" applyFill="1" applyBorder="1" applyAlignment="1">
      <alignment horizontal="right" vertical="center"/>
    </xf>
    <xf numFmtId="0" fontId="31" fillId="0" borderId="8" xfId="153" applyFont="1" applyFill="1" applyBorder="1" applyAlignment="1">
      <alignment horizontal="center" vertical="center"/>
    </xf>
    <xf numFmtId="0" fontId="6" fillId="0" borderId="0" xfId="153" applyFont="1" applyFill="1" applyAlignment="1">
      <alignment horizontal="left"/>
    </xf>
    <xf numFmtId="2" fontId="6" fillId="0" borderId="0" xfId="153" applyNumberFormat="1" applyFont="1" applyFill="1"/>
    <xf numFmtId="49" fontId="31" fillId="0" borderId="0" xfId="153" applyNumberFormat="1" applyFont="1" applyFill="1" applyAlignment="1">
      <alignment horizontal="center"/>
    </xf>
    <xf numFmtId="0" fontId="31" fillId="0" borderId="0" xfId="153" applyFont="1" applyFill="1" applyAlignment="1">
      <alignment horizontal="center" vertical="center"/>
    </xf>
    <xf numFmtId="0" fontId="2" fillId="0" borderId="0" xfId="153" applyFont="1" applyFill="1" applyAlignment="1">
      <alignment horizontal="center"/>
    </xf>
    <xf numFmtId="2" fontId="2" fillId="0" borderId="0" xfId="153" applyNumberFormat="1" applyFont="1" applyFill="1" applyAlignment="1">
      <alignment horizontal="center"/>
    </xf>
    <xf numFmtId="1" fontId="2" fillId="0" borderId="0" xfId="153" applyNumberFormat="1" applyFont="1" applyFill="1" applyAlignment="1">
      <alignment horizontal="center"/>
    </xf>
    <xf numFmtId="0" fontId="2" fillId="0" borderId="0" xfId="153" applyNumberFormat="1" applyFont="1" applyFill="1" applyAlignment="1">
      <alignment horizontal="center"/>
    </xf>
    <xf numFmtId="49" fontId="2" fillId="0" borderId="0" xfId="153" applyNumberFormat="1" applyFont="1" applyFill="1" applyAlignment="1">
      <alignment horizontal="center"/>
    </xf>
    <xf numFmtId="0" fontId="31" fillId="0" borderId="0" xfId="153" applyNumberFormat="1" applyFont="1" applyFill="1"/>
    <xf numFmtId="49" fontId="31" fillId="0" borderId="0" xfId="153" applyNumberFormat="1" applyFont="1" applyFill="1"/>
    <xf numFmtId="0" fontId="36" fillId="0" borderId="0" xfId="153" applyFont="1" applyFill="1" applyAlignment="1">
      <alignment horizontal="left"/>
    </xf>
    <xf numFmtId="0" fontId="2" fillId="0" borderId="0" xfId="178" applyFont="1" applyFill="1"/>
    <xf numFmtId="0" fontId="2" fillId="0" borderId="0" xfId="178" applyFont="1" applyFill="1" applyAlignment="1">
      <alignment horizontal="center"/>
    </xf>
    <xf numFmtId="0" fontId="36" fillId="0" borderId="0" xfId="178" applyFont="1" applyFill="1" applyAlignment="1">
      <alignment horizontal="left"/>
    </xf>
    <xf numFmtId="49" fontId="31" fillId="0" borderId="0" xfId="178" applyNumberFormat="1" applyFont="1" applyFill="1"/>
    <xf numFmtId="0" fontId="31" fillId="0" borderId="0" xfId="178" applyNumberFormat="1" applyFont="1" applyFill="1"/>
    <xf numFmtId="1" fontId="2" fillId="0" borderId="0" xfId="178" applyNumberFormat="1" applyFont="1" applyFill="1" applyAlignment="1">
      <alignment horizontal="center"/>
    </xf>
    <xf numFmtId="2" fontId="2" fillId="0" borderId="0" xfId="178" applyNumberFormat="1" applyFont="1" applyFill="1" applyAlignment="1">
      <alignment horizontal="center"/>
    </xf>
    <xf numFmtId="0" fontId="37" fillId="0" borderId="0" xfId="178" applyFont="1" applyFill="1" applyAlignment="1">
      <alignment horizontal="center"/>
    </xf>
    <xf numFmtId="0" fontId="31" fillId="0" borderId="0" xfId="178" applyFont="1" applyFill="1"/>
    <xf numFmtId="49" fontId="2" fillId="0" borderId="0" xfId="178" applyNumberFormat="1" applyFont="1" applyFill="1" applyAlignment="1">
      <alignment horizontal="center"/>
    </xf>
    <xf numFmtId="0" fontId="2" fillId="0" borderId="0" xfId="178" applyNumberFormat="1" applyFont="1" applyFill="1" applyAlignment="1">
      <alignment horizontal="center"/>
    </xf>
    <xf numFmtId="0" fontId="6" fillId="0" borderId="0" xfId="178" applyFont="1" applyFill="1"/>
    <xf numFmtId="0" fontId="7" fillId="0" borderId="0" xfId="178" applyFont="1" applyFill="1"/>
    <xf numFmtId="49" fontId="6" fillId="0" borderId="0" xfId="178" applyNumberFormat="1" applyFont="1" applyFill="1" applyAlignment="1">
      <alignment horizontal="center"/>
    </xf>
    <xf numFmtId="0" fontId="6" fillId="0" borderId="0" xfId="178" applyNumberFormat="1" applyFont="1" applyFill="1"/>
    <xf numFmtId="1" fontId="6" fillId="0" borderId="0" xfId="178" applyNumberFormat="1" applyFont="1" applyFill="1"/>
    <xf numFmtId="2" fontId="6" fillId="0" borderId="0" xfId="178" applyNumberFormat="1" applyFont="1" applyFill="1" applyAlignment="1">
      <alignment horizontal="center"/>
    </xf>
    <xf numFmtId="0" fontId="6" fillId="0" borderId="0" xfId="178" applyFont="1" applyFill="1" applyAlignment="1">
      <alignment horizontal="center"/>
    </xf>
    <xf numFmtId="2" fontId="6" fillId="0" borderId="0" xfId="178" applyNumberFormat="1" applyFont="1" applyFill="1"/>
    <xf numFmtId="2" fontId="31" fillId="0" borderId="0" xfId="178" applyNumberFormat="1" applyFont="1" applyFill="1"/>
    <xf numFmtId="0" fontId="34" fillId="0" borderId="0" xfId="178" applyFont="1" applyFill="1" applyAlignment="1">
      <alignment horizontal="center"/>
    </xf>
    <xf numFmtId="49" fontId="31" fillId="0" borderId="0" xfId="178" applyNumberFormat="1" applyFont="1" applyFill="1" applyAlignment="1">
      <alignment horizontal="center"/>
    </xf>
    <xf numFmtId="0" fontId="6" fillId="0" borderId="0" xfId="178" applyFont="1" applyFill="1" applyAlignment="1">
      <alignment horizontal="left"/>
    </xf>
    <xf numFmtId="0" fontId="31" fillId="0" borderId="8" xfId="178" applyFont="1" applyFill="1" applyBorder="1" applyAlignment="1">
      <alignment horizontal="center" vertical="center"/>
    </xf>
    <xf numFmtId="0" fontId="31" fillId="0" borderId="20" xfId="178" applyFont="1" applyFill="1" applyBorder="1" applyAlignment="1">
      <alignment horizontal="center" vertical="center"/>
    </xf>
    <xf numFmtId="0" fontId="31" fillId="0" borderId="22" xfId="178" applyFont="1" applyFill="1" applyBorder="1" applyAlignment="1">
      <alignment horizontal="right" vertical="center"/>
    </xf>
    <xf numFmtId="0" fontId="31" fillId="0" borderId="21" xfId="178" applyFont="1" applyFill="1" applyBorder="1" applyAlignment="1">
      <alignment horizontal="left" vertical="center"/>
    </xf>
    <xf numFmtId="49" fontId="31" fillId="0" borderId="20" xfId="178" applyNumberFormat="1" applyFont="1" applyFill="1" applyBorder="1" applyAlignment="1">
      <alignment horizontal="center" vertical="center"/>
    </xf>
    <xf numFmtId="0" fontId="31" fillId="0" borderId="20" xfId="178" applyNumberFormat="1" applyFont="1" applyFill="1" applyBorder="1" applyAlignment="1">
      <alignment horizontal="center" vertical="center"/>
    </xf>
    <xf numFmtId="1" fontId="31" fillId="0" borderId="20" xfId="178" applyNumberFormat="1" applyFont="1" applyFill="1" applyBorder="1" applyAlignment="1">
      <alignment horizontal="center" vertical="center"/>
    </xf>
    <xf numFmtId="1" fontId="31" fillId="0" borderId="8" xfId="178" applyNumberFormat="1" applyFont="1" applyFill="1" applyBorder="1" applyAlignment="1">
      <alignment horizontal="center" vertical="center"/>
    </xf>
    <xf numFmtId="1" fontId="8" fillId="0" borderId="8" xfId="178" applyNumberFormat="1" applyFont="1" applyFill="1" applyBorder="1" applyAlignment="1">
      <alignment horizontal="center" vertical="center"/>
    </xf>
    <xf numFmtId="2" fontId="31" fillId="0" borderId="8" xfId="178" applyNumberFormat="1" applyFont="1" applyFill="1" applyBorder="1" applyAlignment="1">
      <alignment horizontal="center" vertical="center"/>
    </xf>
    <xf numFmtId="0" fontId="15" fillId="0" borderId="0" xfId="178" applyFont="1" applyFill="1" applyAlignment="1">
      <alignment horizontal="center"/>
    </xf>
    <xf numFmtId="0" fontId="6" fillId="0" borderId="8" xfId="178" applyFont="1" applyFill="1" applyBorder="1" applyAlignment="1">
      <alignment horizontal="center" vertical="center"/>
    </xf>
    <xf numFmtId="0" fontId="38" fillId="0" borderId="13" xfId="178" applyFont="1" applyFill="1" applyBorder="1" applyAlignment="1">
      <alignment horizontal="right" vertical="center"/>
    </xf>
    <xf numFmtId="0" fontId="39" fillId="0" borderId="14" xfId="178" applyFont="1" applyFill="1" applyBorder="1" applyAlignment="1">
      <alignment horizontal="left" vertical="center"/>
    </xf>
    <xf numFmtId="49" fontId="38" fillId="0" borderId="14" xfId="178" applyNumberFormat="1" applyFont="1" applyFill="1" applyBorder="1" applyAlignment="1">
      <alignment horizontal="left" vertical="center"/>
    </xf>
    <xf numFmtId="0" fontId="38" fillId="0" borderId="8" xfId="178" applyFont="1" applyFill="1" applyBorder="1" applyAlignment="1">
      <alignment horizontal="left" vertical="center"/>
    </xf>
    <xf numFmtId="1" fontId="35" fillId="0" borderId="8" xfId="178" applyNumberFormat="1" applyFont="1" applyFill="1" applyBorder="1" applyAlignment="1">
      <alignment horizontal="center" vertical="center"/>
    </xf>
    <xf numFmtId="2" fontId="6" fillId="0" borderId="8" xfId="178" applyNumberFormat="1" applyFont="1" applyFill="1" applyBorder="1" applyAlignment="1">
      <alignment horizontal="center" vertical="center"/>
    </xf>
    <xf numFmtId="1" fontId="15" fillId="0" borderId="8" xfId="178" applyNumberFormat="1" applyFont="1" applyFill="1" applyBorder="1" applyAlignment="1">
      <alignment horizontal="center" vertical="center"/>
    </xf>
    <xf numFmtId="0" fontId="6" fillId="0" borderId="8" xfId="178" applyFont="1" applyFill="1" applyBorder="1" applyAlignment="1">
      <alignment horizontal="left" vertical="center"/>
    </xf>
    <xf numFmtId="0" fontId="34" fillId="0" borderId="0" xfId="178" applyFont="1" applyFill="1" applyAlignment="1">
      <alignment horizontal="center" vertical="center"/>
    </xf>
    <xf numFmtId="0" fontId="6" fillId="0" borderId="0" xfId="178" applyFont="1" applyFill="1" applyAlignment="1">
      <alignment vertical="center"/>
    </xf>
    <xf numFmtId="1" fontId="40" fillId="0" borderId="8" xfId="178" applyNumberFormat="1" applyFont="1" applyFill="1" applyBorder="1" applyAlignment="1">
      <alignment horizontal="center" vertical="center"/>
    </xf>
    <xf numFmtId="0" fontId="15" fillId="0" borderId="8" xfId="178" applyFont="1" applyFill="1" applyBorder="1" applyAlignment="1">
      <alignment horizontal="left" vertical="center"/>
    </xf>
    <xf numFmtId="177" fontId="31" fillId="0" borderId="0" xfId="153" applyNumberFormat="1" applyFont="1" applyFill="1"/>
    <xf numFmtId="49" fontId="50" fillId="0" borderId="0" xfId="1225" applyNumberFormat="1" applyFont="1" applyFill="1" applyBorder="1" applyAlignment="1">
      <alignment horizontal="center"/>
    </xf>
    <xf numFmtId="177" fontId="8" fillId="0" borderId="0" xfId="153" applyNumberFormat="1" applyFont="1" applyFill="1"/>
    <xf numFmtId="177" fontId="15" fillId="0" borderId="0" xfId="153" applyNumberFormat="1" applyFont="1" applyFill="1"/>
    <xf numFmtId="177" fontId="8" fillId="0" borderId="8" xfId="153" applyNumberFormat="1" applyFont="1" applyFill="1" applyBorder="1" applyAlignment="1">
      <alignment horizontal="center" vertical="center"/>
    </xf>
    <xf numFmtId="0" fontId="10" fillId="0" borderId="15" xfId="153" applyNumberFormat="1" applyFont="1" applyFill="1" applyBorder="1" applyAlignment="1">
      <alignment horizontal="center" vertical="center"/>
    </xf>
    <xf numFmtId="49" fontId="4" fillId="0" borderId="18" xfId="153" applyNumberFormat="1" applyFont="1" applyFill="1" applyBorder="1" applyAlignment="1">
      <alignment horizontal="center" vertical="center"/>
    </xf>
    <xf numFmtId="1" fontId="33" fillId="0" borderId="8" xfId="153" applyNumberFormat="1" applyFont="1" applyFill="1" applyBorder="1" applyAlignment="1">
      <alignment horizontal="center" vertical="center"/>
    </xf>
    <xf numFmtId="177" fontId="31" fillId="0" borderId="8" xfId="153" applyNumberFormat="1" applyFont="1" applyFill="1" applyBorder="1" applyAlignment="1">
      <alignment horizontal="center" vertical="center"/>
    </xf>
    <xf numFmtId="0" fontId="6" fillId="0" borderId="23" xfId="153" applyNumberFormat="1" applyFont="1" applyFill="1" applyBorder="1" applyAlignment="1">
      <alignment horizontal="center" vertical="center"/>
    </xf>
    <xf numFmtId="177" fontId="34" fillId="0" borderId="0" xfId="153" applyNumberFormat="1" applyFont="1" applyFill="1" applyBorder="1" applyAlignment="1">
      <alignment horizontal="center"/>
    </xf>
    <xf numFmtId="0" fontId="9" fillId="0" borderId="0" xfId="153" applyFont="1" applyFill="1"/>
    <xf numFmtId="0" fontId="4" fillId="0" borderId="0" xfId="153" applyFont="1" applyFill="1" applyBorder="1"/>
    <xf numFmtId="0" fontId="4" fillId="0" borderId="0" xfId="153" applyFont="1" applyFill="1"/>
    <xf numFmtId="0" fontId="4" fillId="0" borderId="0" xfId="153" applyFont="1" applyFill="1" applyBorder="1" applyAlignment="1">
      <alignment horizontal="center" vertical="center"/>
    </xf>
    <xf numFmtId="0" fontId="10" fillId="0" borderId="8" xfId="153" applyFont="1" applyFill="1" applyBorder="1" applyAlignment="1">
      <alignment horizontal="center" vertical="center"/>
    </xf>
    <xf numFmtId="0" fontId="10" fillId="0" borderId="7" xfId="153" applyFont="1" applyFill="1" applyBorder="1" applyAlignment="1">
      <alignment horizontal="center" vertical="center"/>
    </xf>
    <xf numFmtId="165" fontId="34" fillId="0" borderId="8" xfId="153" applyNumberFormat="1" applyFont="1" applyFill="1" applyBorder="1" applyAlignment="1">
      <alignment horizontal="center" vertical="center"/>
    </xf>
    <xf numFmtId="2" fontId="3" fillId="0" borderId="23" xfId="153" applyNumberFormat="1" applyFont="1" applyFill="1" applyBorder="1" applyAlignment="1">
      <alignment horizontal="center" vertical="center"/>
    </xf>
    <xf numFmtId="49" fontId="6" fillId="0" borderId="23" xfId="153" applyNumberFormat="1" applyFont="1" applyFill="1" applyBorder="1" applyAlignment="1">
      <alignment horizontal="center" vertical="center"/>
    </xf>
    <xf numFmtId="2" fontId="4" fillId="0" borderId="0" xfId="153" applyNumberFormat="1" applyFont="1" applyFill="1" applyAlignment="1">
      <alignment vertical="center"/>
    </xf>
    <xf numFmtId="0" fontId="4" fillId="0" borderId="0" xfId="153" applyFont="1" applyFill="1" applyAlignment="1">
      <alignment vertical="center"/>
    </xf>
    <xf numFmtId="2" fontId="10" fillId="0" borderId="23" xfId="153" applyNumberFormat="1" applyFont="1" applyFill="1" applyBorder="1" applyAlignment="1">
      <alignment horizontal="center" vertical="center"/>
    </xf>
    <xf numFmtId="2" fontId="10" fillId="0" borderId="18" xfId="153" applyNumberFormat="1" applyFont="1" applyFill="1" applyBorder="1" applyAlignment="1">
      <alignment horizontal="center" vertical="center"/>
    </xf>
    <xf numFmtId="0" fontId="31" fillId="0" borderId="0" xfId="178" applyFont="1" applyFill="1" applyAlignment="1">
      <alignment horizontal="right"/>
    </xf>
    <xf numFmtId="0" fontId="6" fillId="0" borderId="13" xfId="178" applyFont="1" applyFill="1" applyBorder="1" applyAlignment="1">
      <alignment horizontal="right" vertical="center"/>
    </xf>
    <xf numFmtId="0" fontId="31" fillId="0" borderId="14" xfId="178" applyFont="1" applyFill="1" applyBorder="1" applyAlignment="1">
      <alignment horizontal="left" vertical="center"/>
    </xf>
    <xf numFmtId="49" fontId="15" fillId="0" borderId="8" xfId="178" applyNumberFormat="1" applyFont="1" applyFill="1" applyBorder="1" applyAlignment="1">
      <alignment horizontal="center" vertical="center"/>
    </xf>
    <xf numFmtId="0" fontId="15" fillId="0" borderId="8" xfId="178" applyNumberFormat="1" applyFont="1" applyFill="1" applyBorder="1" applyAlignment="1">
      <alignment horizontal="left" vertical="center"/>
    </xf>
    <xf numFmtId="0" fontId="15" fillId="0" borderId="8" xfId="178" applyFont="1" applyFill="1" applyBorder="1" applyAlignment="1">
      <alignment vertical="center"/>
    </xf>
    <xf numFmtId="0" fontId="8" fillId="0" borderId="0" xfId="153" applyFont="1" applyFill="1"/>
    <xf numFmtId="0" fontId="15" fillId="0" borderId="0" xfId="153" applyFont="1" applyFill="1"/>
    <xf numFmtId="2" fontId="6" fillId="0" borderId="8" xfId="153" quotePrefix="1" applyNumberFormat="1" applyFont="1" applyFill="1" applyBorder="1" applyAlignment="1">
      <alignment horizontal="center" vertical="center"/>
    </xf>
    <xf numFmtId="1" fontId="40" fillId="0" borderId="8" xfId="153" applyNumberFormat="1" applyFont="1" applyFill="1" applyBorder="1" applyAlignment="1">
      <alignment horizontal="center" vertical="center"/>
    </xf>
    <xf numFmtId="0" fontId="10" fillId="0" borderId="0" xfId="153" applyFont="1" applyFill="1" applyAlignment="1">
      <alignment horizontal="center"/>
    </xf>
    <xf numFmtId="49" fontId="4" fillId="0" borderId="0" xfId="153" applyNumberFormat="1" applyFont="1" applyFill="1" applyAlignment="1">
      <alignment horizontal="center"/>
    </xf>
    <xf numFmtId="49" fontId="6" fillId="0" borderId="18" xfId="153" applyNumberFormat="1" applyFont="1" applyFill="1" applyBorder="1" applyAlignment="1">
      <alignment horizontal="center" vertical="center"/>
    </xf>
    <xf numFmtId="165" fontId="34" fillId="0" borderId="18" xfId="153" applyNumberFormat="1" applyFont="1" applyFill="1" applyBorder="1" applyAlignment="1">
      <alignment horizontal="center" vertical="center"/>
    </xf>
    <xf numFmtId="177" fontId="3" fillId="0" borderId="18" xfId="153" applyNumberFormat="1" applyFont="1" applyFill="1" applyBorder="1" applyAlignment="1">
      <alignment horizontal="center" vertical="center"/>
    </xf>
    <xf numFmtId="1" fontId="6" fillId="0" borderId="16" xfId="153" applyNumberFormat="1" applyFont="1" applyFill="1" applyBorder="1" applyAlignment="1">
      <alignment horizontal="center" vertical="center"/>
    </xf>
    <xf numFmtId="49" fontId="3" fillId="0" borderId="8" xfId="892" applyNumberFormat="1" applyFont="1" applyFill="1" applyBorder="1" applyAlignment="1">
      <alignment horizontal="center" vertical="center"/>
    </xf>
    <xf numFmtId="0" fontId="3" fillId="0" borderId="14" xfId="892" applyFont="1" applyFill="1" applyBorder="1" applyAlignment="1">
      <alignment horizontal="left" vertical="center"/>
    </xf>
    <xf numFmtId="0" fontId="3" fillId="0" borderId="13" xfId="892" applyFont="1" applyFill="1" applyBorder="1" applyAlignment="1">
      <alignment horizontal="right" vertical="center"/>
    </xf>
    <xf numFmtId="0" fontId="3" fillId="0" borderId="8" xfId="892" applyFont="1" applyFill="1" applyBorder="1" applyAlignment="1">
      <alignment horizontal="center" vertical="center"/>
    </xf>
    <xf numFmtId="177" fontId="51" fillId="0" borderId="0" xfId="153" applyNumberFormat="1" applyFont="1" applyFill="1" applyAlignment="1">
      <alignment horizontal="center"/>
    </xf>
    <xf numFmtId="0" fontId="3" fillId="0" borderId="0" xfId="153" applyFont="1" applyFill="1" applyAlignment="1">
      <alignment horizontal="center"/>
    </xf>
    <xf numFmtId="49" fontId="9" fillId="0" borderId="0" xfId="153" applyNumberFormat="1" applyFont="1" applyFill="1" applyAlignment="1">
      <alignment horizontal="center"/>
    </xf>
    <xf numFmtId="0" fontId="31" fillId="0" borderId="0" xfId="153" applyFont="1" applyFill="1" applyAlignment="1">
      <alignment horizontal="right"/>
    </xf>
    <xf numFmtId="0" fontId="39" fillId="0" borderId="8" xfId="153" applyFont="1" applyFill="1" applyBorder="1" applyAlignment="1">
      <alignment horizontal="center" vertical="center"/>
    </xf>
    <xf numFmtId="0" fontId="39" fillId="0" borderId="20" xfId="153" applyFont="1" applyFill="1" applyBorder="1" applyAlignment="1">
      <alignment horizontal="center" vertical="center"/>
    </xf>
    <xf numFmtId="0" fontId="39" fillId="0" borderId="22" xfId="153" applyFont="1" applyFill="1" applyBorder="1" applyAlignment="1">
      <alignment horizontal="right" vertical="center"/>
    </xf>
    <xf numFmtId="0" fontId="39" fillId="0" borderId="21" xfId="153" applyFont="1" applyFill="1" applyBorder="1" applyAlignment="1">
      <alignment horizontal="left" vertical="center"/>
    </xf>
    <xf numFmtId="49" fontId="39" fillId="0" borderId="20" xfId="153" applyNumberFormat="1" applyFont="1" applyFill="1" applyBorder="1" applyAlignment="1">
      <alignment horizontal="center" vertical="center"/>
    </xf>
    <xf numFmtId="0" fontId="39" fillId="0" borderId="20" xfId="153" applyNumberFormat="1" applyFont="1" applyFill="1" applyBorder="1" applyAlignment="1">
      <alignment horizontal="center" vertical="center"/>
    </xf>
    <xf numFmtId="1" fontId="39" fillId="0" borderId="20" xfId="153" applyNumberFormat="1" applyFont="1" applyFill="1" applyBorder="1" applyAlignment="1">
      <alignment horizontal="center" vertical="center"/>
    </xf>
    <xf numFmtId="1" fontId="39" fillId="0" borderId="8" xfId="153" applyNumberFormat="1" applyFont="1" applyFill="1" applyBorder="1" applyAlignment="1">
      <alignment horizontal="center" vertical="center"/>
    </xf>
    <xf numFmtId="1" fontId="14" fillId="0" borderId="8" xfId="153" applyNumberFormat="1" applyFont="1" applyFill="1" applyBorder="1" applyAlignment="1">
      <alignment horizontal="center" vertical="center"/>
    </xf>
    <xf numFmtId="2" fontId="39" fillId="0" borderId="8" xfId="153" applyNumberFormat="1" applyFont="1" applyFill="1" applyBorder="1" applyAlignment="1">
      <alignment horizontal="center" vertical="center"/>
    </xf>
    <xf numFmtId="0" fontId="15" fillId="0" borderId="0" xfId="153" applyFont="1" applyFill="1" applyAlignment="1">
      <alignment horizontal="center"/>
    </xf>
    <xf numFmtId="0" fontId="38" fillId="0" borderId="8" xfId="153" applyFont="1" applyFill="1" applyBorder="1" applyAlignment="1">
      <alignment horizontal="center" vertical="center"/>
    </xf>
    <xf numFmtId="0" fontId="38" fillId="0" borderId="13" xfId="153" applyFont="1" applyFill="1" applyBorder="1" applyAlignment="1">
      <alignment horizontal="right" vertical="center"/>
    </xf>
    <xf numFmtId="0" fontId="39" fillId="0" borderId="14" xfId="153" applyFont="1" applyFill="1" applyBorder="1" applyAlignment="1">
      <alignment horizontal="left" vertical="center"/>
    </xf>
    <xf numFmtId="49" fontId="38" fillId="0" borderId="8" xfId="153" applyNumberFormat="1" applyFont="1" applyFill="1" applyBorder="1" applyAlignment="1">
      <alignment horizontal="center" vertical="center"/>
    </xf>
    <xf numFmtId="0" fontId="38" fillId="0" borderId="8" xfId="153" applyNumberFormat="1" applyFont="1" applyFill="1" applyBorder="1" applyAlignment="1">
      <alignment horizontal="left" vertical="center"/>
    </xf>
    <xf numFmtId="2" fontId="38" fillId="0" borderId="8" xfId="153" applyNumberFormat="1" applyFont="1" applyFill="1" applyBorder="1" applyAlignment="1">
      <alignment horizontal="center" vertical="center"/>
    </xf>
    <xf numFmtId="1" fontId="52" fillId="0" borderId="8" xfId="153" applyNumberFormat="1" applyFont="1" applyFill="1" applyBorder="1" applyAlignment="1">
      <alignment horizontal="center" vertical="center"/>
    </xf>
    <xf numFmtId="0" fontId="38" fillId="0" borderId="8" xfId="153" applyFont="1" applyFill="1" applyBorder="1" applyAlignment="1">
      <alignment vertical="center"/>
    </xf>
    <xf numFmtId="49" fontId="4" fillId="0" borderId="0" xfId="153" applyNumberFormat="1" applyFont="1" applyFill="1" applyBorder="1" applyAlignment="1">
      <alignment horizontal="center" vertical="center"/>
    </xf>
    <xf numFmtId="0" fontId="53" fillId="0" borderId="16" xfId="153" applyFont="1" applyFill="1" applyBorder="1" applyAlignment="1">
      <alignment horizontal="center" vertical="center"/>
    </xf>
    <xf numFmtId="187" fontId="3" fillId="0" borderId="18" xfId="153" applyNumberFormat="1" applyFont="1" applyFill="1" applyBorder="1" applyAlignment="1">
      <alignment horizontal="center" vertical="center"/>
    </xf>
    <xf numFmtId="0" fontId="1" fillId="0" borderId="18" xfId="1226" applyFont="1" applyFill="1" applyBorder="1" applyAlignment="1">
      <alignment horizontal="center"/>
    </xf>
    <xf numFmtId="0" fontId="16" fillId="0" borderId="8" xfId="153" applyFont="1" applyFill="1" applyBorder="1" applyAlignment="1">
      <alignment horizontal="left" vertical="center"/>
    </xf>
    <xf numFmtId="1" fontId="6" fillId="0" borderId="8" xfId="153" applyNumberFormat="1" applyFont="1" applyFill="1" applyBorder="1" applyAlignment="1">
      <alignment horizontal="center"/>
    </xf>
    <xf numFmtId="2" fontId="10" fillId="0" borderId="23" xfId="153" applyNumberFormat="1" applyFont="1" applyFill="1" applyBorder="1" applyAlignment="1">
      <alignment horizontal="center"/>
    </xf>
    <xf numFmtId="165" fontId="15" fillId="0" borderId="8" xfId="153" applyNumberFormat="1" applyFont="1" applyFill="1" applyBorder="1" applyAlignment="1">
      <alignment horizontal="center"/>
    </xf>
    <xf numFmtId="2" fontId="3" fillId="0" borderId="23" xfId="153" applyNumberFormat="1" applyFont="1" applyFill="1" applyBorder="1" applyAlignment="1">
      <alignment horizontal="center"/>
    </xf>
    <xf numFmtId="0" fontId="6" fillId="0" borderId="23" xfId="153" applyNumberFormat="1" applyFont="1" applyFill="1" applyBorder="1" applyAlignment="1">
      <alignment horizontal="center"/>
    </xf>
    <xf numFmtId="2" fontId="10" fillId="0" borderId="0" xfId="153" applyNumberFormat="1" applyFont="1" applyFill="1" applyAlignment="1">
      <alignment vertical="center"/>
    </xf>
    <xf numFmtId="0" fontId="10" fillId="0" borderId="0" xfId="153" applyFont="1" applyFill="1" applyBorder="1" applyAlignment="1">
      <alignment horizontal="center" vertical="center"/>
    </xf>
    <xf numFmtId="0" fontId="10" fillId="0" borderId="0" xfId="153" applyFont="1" applyFill="1" applyBorder="1" applyAlignment="1">
      <alignment horizontal="right" vertical="center"/>
    </xf>
    <xf numFmtId="0" fontId="3" fillId="0" borderId="0" xfId="153" applyFont="1" applyFill="1" applyBorder="1" applyAlignment="1">
      <alignment horizontal="left" vertical="center"/>
    </xf>
    <xf numFmtId="49" fontId="4" fillId="0" borderId="0" xfId="153" applyNumberFormat="1" applyFont="1" applyFill="1" applyBorder="1" applyAlignment="1">
      <alignment horizontal="left" vertical="center"/>
    </xf>
    <xf numFmtId="0" fontId="16" fillId="0" borderId="0" xfId="153" applyNumberFormat="1" applyFont="1" applyFill="1" applyBorder="1" applyAlignment="1">
      <alignment horizontal="left" vertical="center"/>
    </xf>
    <xf numFmtId="1" fontId="6" fillId="0" borderId="0" xfId="153" applyNumberFormat="1" applyFont="1" applyFill="1" applyBorder="1" applyAlignment="1">
      <alignment horizontal="center"/>
    </xf>
    <xf numFmtId="2" fontId="3" fillId="0" borderId="0" xfId="153" applyNumberFormat="1" applyFont="1" applyFill="1" applyBorder="1" applyAlignment="1">
      <alignment horizontal="center"/>
    </xf>
    <xf numFmtId="165" fontId="15" fillId="0" borderId="0" xfId="153" applyNumberFormat="1" applyFont="1" applyFill="1" applyBorder="1" applyAlignment="1">
      <alignment horizontal="center"/>
    </xf>
    <xf numFmtId="0" fontId="6" fillId="0" borderId="0" xfId="153" applyNumberFormat="1" applyFont="1" applyFill="1" applyBorder="1" applyAlignment="1">
      <alignment horizontal="center"/>
    </xf>
    <xf numFmtId="0" fontId="4" fillId="0" borderId="0" xfId="153" applyFont="1" applyFill="1" applyBorder="1" applyAlignment="1">
      <alignment horizontal="left" vertical="center"/>
    </xf>
    <xf numFmtId="49" fontId="6" fillId="0" borderId="0" xfId="153" applyNumberFormat="1" applyFont="1" applyFill="1"/>
    <xf numFmtId="14" fontId="11" fillId="0" borderId="0" xfId="153" applyNumberFormat="1" applyFont="1" applyFill="1"/>
    <xf numFmtId="49" fontId="4" fillId="0" borderId="0" xfId="892" applyNumberFormat="1" applyFont="1" applyFill="1" applyAlignment="1">
      <alignment horizontal="center"/>
    </xf>
    <xf numFmtId="1" fontId="54" fillId="0" borderId="8" xfId="153" applyNumberFormat="1" applyFont="1" applyFill="1" applyBorder="1" applyAlignment="1">
      <alignment horizontal="center" vertical="center"/>
    </xf>
    <xf numFmtId="49" fontId="4" fillId="0" borderId="0" xfId="1224" applyNumberFormat="1" applyFont="1" applyFill="1" applyBorder="1" applyAlignment="1">
      <alignment horizontal="center"/>
    </xf>
    <xf numFmtId="49" fontId="34" fillId="0" borderId="0" xfId="153" applyNumberFormat="1" applyFont="1" applyFill="1" applyBorder="1" applyAlignment="1">
      <alignment horizontal="center"/>
    </xf>
    <xf numFmtId="177" fontId="4" fillId="0" borderId="0" xfId="153" applyNumberFormat="1" applyFont="1" applyFill="1"/>
    <xf numFmtId="0" fontId="1" fillId="0" borderId="24" xfId="139" applyBorder="1"/>
    <xf numFmtId="0" fontId="1" fillId="0" borderId="0" xfId="139"/>
    <xf numFmtId="0" fontId="21" fillId="0" borderId="0" xfId="139" applyFont="1"/>
    <xf numFmtId="0" fontId="6" fillId="0" borderId="0" xfId="139" applyFont="1"/>
    <xf numFmtId="0" fontId="6" fillId="0" borderId="24" xfId="139" applyFont="1" applyBorder="1"/>
    <xf numFmtId="0" fontId="55" fillId="0" borderId="0" xfId="139" applyFont="1"/>
    <xf numFmtId="0" fontId="56" fillId="0" borderId="0" xfId="139" applyFont="1"/>
    <xf numFmtId="0" fontId="57" fillId="0" borderId="0" xfId="139" applyFont="1"/>
    <xf numFmtId="0" fontId="6" fillId="0" borderId="7" xfId="139" applyFont="1" applyBorder="1"/>
    <xf numFmtId="0" fontId="6" fillId="0" borderId="0" xfId="139" applyFont="1" applyBorder="1"/>
    <xf numFmtId="49" fontId="7" fillId="0" borderId="0" xfId="139" applyNumberFormat="1" applyFont="1"/>
    <xf numFmtId="0" fontId="6" fillId="0" borderId="25" xfId="139" applyFont="1" applyBorder="1"/>
    <xf numFmtId="0" fontId="6" fillId="0" borderId="26" xfId="139" applyFont="1" applyBorder="1"/>
    <xf numFmtId="0" fontId="7" fillId="0" borderId="0" xfId="139" applyFont="1"/>
    <xf numFmtId="0" fontId="65" fillId="0" borderId="0" xfId="139" applyFont="1"/>
    <xf numFmtId="0" fontId="15" fillId="0" borderId="0" xfId="153" applyFont="1" applyFill="1" applyBorder="1"/>
    <xf numFmtId="0" fontId="15" fillId="0" borderId="0" xfId="153" applyFont="1" applyFill="1" applyBorder="1" applyAlignment="1">
      <alignment horizontal="center" vertical="center"/>
    </xf>
    <xf numFmtId="0" fontId="6" fillId="0" borderId="18" xfId="153" applyNumberFormat="1" applyFont="1" applyFill="1" applyBorder="1" applyAlignment="1">
      <alignment horizontal="center" vertical="center"/>
    </xf>
    <xf numFmtId="2" fontId="4" fillId="0" borderId="0" xfId="1229" applyNumberFormat="1" applyFont="1" applyFill="1" applyBorder="1" applyAlignment="1">
      <alignment horizontal="center"/>
    </xf>
    <xf numFmtId="0" fontId="8" fillId="0" borderId="0" xfId="153" applyFont="1" applyFill="1" applyBorder="1" applyAlignment="1">
      <alignment horizontal="center" vertical="center"/>
    </xf>
    <xf numFmtId="0" fontId="8" fillId="0" borderId="0" xfId="153" applyFont="1" applyFill="1" applyBorder="1"/>
    <xf numFmtId="0" fontId="9" fillId="0" borderId="0" xfId="153" applyFont="1" applyFill="1" applyAlignment="1">
      <alignment horizontal="center"/>
    </xf>
    <xf numFmtId="0" fontId="4" fillId="0" borderId="0" xfId="153" applyFont="1" applyFill="1" applyAlignment="1">
      <alignment horizontal="center"/>
    </xf>
    <xf numFmtId="2" fontId="4" fillId="0" borderId="0" xfId="153" applyNumberFormat="1" applyFont="1" applyFill="1" applyBorder="1" applyAlignment="1">
      <alignment horizontal="center" vertical="center"/>
    </xf>
    <xf numFmtId="0" fontId="4" fillId="0" borderId="0" xfId="153" applyFont="1" applyFill="1" applyAlignment="1">
      <alignment horizontal="center" vertical="center"/>
    </xf>
    <xf numFmtId="0" fontId="4" fillId="0" borderId="0" xfId="153" applyFont="1" applyFill="1" applyBorder="1" applyAlignment="1">
      <alignment vertical="center"/>
    </xf>
    <xf numFmtId="0" fontId="10" fillId="0" borderId="0" xfId="892" applyFont="1" applyFill="1" applyAlignment="1">
      <alignment horizontal="center"/>
    </xf>
    <xf numFmtId="49" fontId="66" fillId="0" borderId="0" xfId="1224" applyNumberFormat="1" applyFont="1" applyFill="1" applyBorder="1" applyAlignment="1">
      <alignment horizontal="center"/>
    </xf>
    <xf numFmtId="20" fontId="10" fillId="0" borderId="0" xfId="153" applyNumberFormat="1" applyFont="1" applyFill="1"/>
    <xf numFmtId="0" fontId="7" fillId="0" borderId="0" xfId="142" applyFont="1" applyFill="1" applyAlignment="1">
      <alignment vertical="center"/>
    </xf>
    <xf numFmtId="0" fontId="2" fillId="0" borderId="0" xfId="142" applyFont="1" applyFill="1" applyAlignment="1">
      <alignment horizontal="center" vertical="center"/>
    </xf>
    <xf numFmtId="0" fontId="36" fillId="0" borderId="0" xfId="142" applyFont="1" applyFill="1" applyAlignment="1">
      <alignment horizontal="left" vertical="center"/>
    </xf>
    <xf numFmtId="0" fontId="31" fillId="0" borderId="0" xfId="142" applyFont="1" applyFill="1" applyAlignment="1">
      <alignment vertical="center"/>
    </xf>
    <xf numFmtId="0" fontId="36" fillId="0" borderId="0" xfId="142" applyFont="1" applyFill="1" applyAlignment="1">
      <alignment horizontal="center" vertical="center"/>
    </xf>
    <xf numFmtId="0" fontId="6" fillId="0" borderId="0" xfId="142" applyFont="1" applyFill="1" applyAlignment="1">
      <alignment horizontal="center" vertical="center"/>
    </xf>
    <xf numFmtId="0" fontId="7" fillId="0" borderId="0" xfId="142" applyFont="1" applyFill="1" applyAlignment="1">
      <alignment horizontal="left" vertical="center"/>
    </xf>
    <xf numFmtId="0" fontId="6" fillId="0" borderId="0" xfId="142" applyFont="1" applyFill="1" applyAlignment="1">
      <alignment vertical="center"/>
    </xf>
    <xf numFmtId="14" fontId="67" fillId="0" borderId="0" xfId="142" applyNumberFormat="1" applyFont="1" applyFill="1" applyAlignment="1">
      <alignment horizontal="center" vertical="center"/>
    </xf>
    <xf numFmtId="0" fontId="68" fillId="0" borderId="0" xfId="142" applyFont="1" applyFill="1" applyAlignment="1">
      <alignment horizontal="center" vertical="center"/>
    </xf>
    <xf numFmtId="0" fontId="31" fillId="0" borderId="0" xfId="142" applyFont="1" applyFill="1" applyAlignment="1">
      <alignment horizontal="right" vertical="center"/>
    </xf>
    <xf numFmtId="0" fontId="6" fillId="0" borderId="0" xfId="142" applyFont="1" applyFill="1" applyAlignment="1">
      <alignment horizontal="left" vertical="center"/>
    </xf>
    <xf numFmtId="49" fontId="15" fillId="0" borderId="22" xfId="142" applyNumberFormat="1" applyFont="1" applyFill="1" applyBorder="1" applyAlignment="1">
      <alignment horizontal="center" vertical="center"/>
    </xf>
    <xf numFmtId="49" fontId="15" fillId="0" borderId="27" xfId="142" applyNumberFormat="1" applyFont="1" applyFill="1" applyBorder="1" applyAlignment="1">
      <alignment horizontal="center" vertical="center"/>
    </xf>
    <xf numFmtId="49" fontId="15" fillId="0" borderId="21" xfId="142" applyNumberFormat="1" applyFont="1" applyFill="1" applyBorder="1" applyAlignment="1">
      <alignment horizontal="center" vertical="center"/>
    </xf>
    <xf numFmtId="0" fontId="33" fillId="0" borderId="8" xfId="142" applyFont="1" applyFill="1" applyBorder="1" applyAlignment="1">
      <alignment horizontal="center" vertical="center"/>
    </xf>
    <xf numFmtId="0" fontId="33" fillId="0" borderId="8" xfId="142" applyFont="1" applyFill="1" applyBorder="1" applyAlignment="1">
      <alignment horizontal="center" vertical="center" wrapText="1"/>
    </xf>
    <xf numFmtId="0" fontId="33" fillId="0" borderId="13" xfId="142" applyFont="1" applyFill="1" applyBorder="1" applyAlignment="1">
      <alignment horizontal="right" vertical="center"/>
    </xf>
    <xf numFmtId="0" fontId="33" fillId="0" borderId="14" xfId="142" applyFont="1" applyFill="1" applyBorder="1" applyAlignment="1">
      <alignment horizontal="left" vertical="center"/>
    </xf>
    <xf numFmtId="49" fontId="6" fillId="0" borderId="8" xfId="142" applyNumberFormat="1" applyFont="1" applyFill="1" applyBorder="1" applyAlignment="1">
      <alignment horizontal="center" vertical="center"/>
    </xf>
    <xf numFmtId="0" fontId="33" fillId="0" borderId="8" xfId="142" applyFont="1" applyFill="1" applyBorder="1" applyAlignment="1">
      <alignment horizontal="left" vertical="center"/>
    </xf>
    <xf numFmtId="0" fontId="33" fillId="0" borderId="0" xfId="142" applyFont="1" applyFill="1" applyAlignment="1">
      <alignment horizontal="center" vertical="center"/>
    </xf>
    <xf numFmtId="0" fontId="6" fillId="0" borderId="8" xfId="142" applyFont="1" applyFill="1" applyBorder="1" applyAlignment="1">
      <alignment horizontal="center" vertical="center"/>
    </xf>
    <xf numFmtId="0" fontId="66" fillId="0" borderId="13" xfId="142" applyFont="1" applyFill="1" applyBorder="1" applyAlignment="1">
      <alignment horizontal="right" vertical="center"/>
    </xf>
    <xf numFmtId="0" fontId="69" fillId="0" borderId="14" xfId="142" applyFont="1" applyFill="1" applyBorder="1" applyAlignment="1">
      <alignment horizontal="left" vertical="center"/>
    </xf>
    <xf numFmtId="49" fontId="33" fillId="0" borderId="8" xfId="142" applyNumberFormat="1" applyFont="1" applyFill="1" applyBorder="1" applyAlignment="1">
      <alignment horizontal="center" vertical="center"/>
    </xf>
    <xf numFmtId="0" fontId="15" fillId="0" borderId="8" xfId="142" applyFont="1" applyFill="1" applyBorder="1" applyAlignment="1">
      <alignment horizontal="left" vertical="center" wrapText="1"/>
    </xf>
    <xf numFmtId="0" fontId="6" fillId="0" borderId="8" xfId="142" applyNumberFormat="1" applyFont="1" applyFill="1" applyBorder="1" applyAlignment="1">
      <alignment horizontal="center" vertical="center"/>
    </xf>
    <xf numFmtId="2" fontId="69" fillId="0" borderId="8" xfId="142" applyNumberFormat="1" applyFont="1" applyFill="1" applyBorder="1" applyAlignment="1">
      <alignment horizontal="center" vertical="center"/>
    </xf>
    <xf numFmtId="2" fontId="34" fillId="0" borderId="0" xfId="142" applyNumberFormat="1" applyFont="1" applyFill="1" applyAlignment="1">
      <alignment horizontal="center" vertical="center"/>
    </xf>
    <xf numFmtId="0" fontId="7" fillId="0" borderId="0" xfId="178" applyFont="1" applyFill="1" applyAlignment="1">
      <alignment vertical="center"/>
    </xf>
    <xf numFmtId="0" fontId="2" fillId="0" borderId="0" xfId="178" applyFont="1" applyFill="1" applyAlignment="1">
      <alignment horizontal="center" vertical="center"/>
    </xf>
    <xf numFmtId="0" fontId="36" fillId="0" borderId="0" xfId="178" applyFont="1" applyFill="1" applyAlignment="1">
      <alignment horizontal="left" vertical="center"/>
    </xf>
    <xf numFmtId="0" fontId="31" fillId="0" borderId="0" xfId="178" applyFont="1" applyFill="1" applyAlignment="1">
      <alignment vertical="center"/>
    </xf>
    <xf numFmtId="0" fontId="36" fillId="0" borderId="0" xfId="178" applyFont="1" applyFill="1" applyAlignment="1">
      <alignment horizontal="center" vertical="center"/>
    </xf>
    <xf numFmtId="0" fontId="6" fillId="0" borderId="0" xfId="178" applyFont="1" applyFill="1" applyAlignment="1">
      <alignment horizontal="center" vertical="center"/>
    </xf>
    <xf numFmtId="0" fontId="7" fillId="0" borderId="0" xfId="178" applyFont="1" applyFill="1" applyAlignment="1">
      <alignment horizontal="left" vertical="center"/>
    </xf>
    <xf numFmtId="14" fontId="67" fillId="0" borderId="0" xfId="178" applyNumberFormat="1" applyFont="1" applyFill="1" applyAlignment="1">
      <alignment horizontal="center" vertical="center"/>
    </xf>
    <xf numFmtId="0" fontId="68" fillId="0" borderId="0" xfId="178" applyFont="1" applyFill="1" applyAlignment="1">
      <alignment horizontal="center" vertical="center"/>
    </xf>
    <xf numFmtId="49" fontId="68" fillId="0" borderId="0" xfId="178" applyNumberFormat="1" applyFont="1" applyFill="1" applyAlignment="1">
      <alignment horizontal="right" vertical="center"/>
    </xf>
    <xf numFmtId="0" fontId="6" fillId="0" borderId="0" xfId="178" applyFont="1" applyFill="1" applyAlignment="1">
      <alignment horizontal="left" vertical="center"/>
    </xf>
    <xf numFmtId="0" fontId="33" fillId="0" borderId="8" xfId="178" applyFont="1" applyFill="1" applyBorder="1" applyAlignment="1">
      <alignment horizontal="center" vertical="center"/>
    </xf>
    <xf numFmtId="0" fontId="33" fillId="0" borderId="13" xfId="178" applyFont="1" applyFill="1" applyBorder="1" applyAlignment="1">
      <alignment horizontal="center" vertical="center" wrapText="1"/>
    </xf>
    <xf numFmtId="0" fontId="33" fillId="0" borderId="13" xfId="178" applyFont="1" applyFill="1" applyBorder="1" applyAlignment="1">
      <alignment horizontal="right" vertical="center"/>
    </xf>
    <xf numFmtId="0" fontId="33" fillId="0" borderId="14" xfId="178" applyFont="1" applyFill="1" applyBorder="1" applyAlignment="1">
      <alignment horizontal="left" vertical="center"/>
    </xf>
    <xf numFmtId="0" fontId="33" fillId="0" borderId="14" xfId="178" applyFont="1" applyFill="1" applyBorder="1" applyAlignment="1">
      <alignment horizontal="center" vertical="center"/>
    </xf>
    <xf numFmtId="0" fontId="33" fillId="0" borderId="8" xfId="178" applyFont="1" applyFill="1" applyBorder="1" applyAlignment="1">
      <alignment horizontal="center" vertical="center" wrapText="1"/>
    </xf>
    <xf numFmtId="49" fontId="6" fillId="0" borderId="8" xfId="178" applyNumberFormat="1" applyFont="1" applyFill="1" applyBorder="1" applyAlignment="1">
      <alignment horizontal="center" vertical="center"/>
    </xf>
    <xf numFmtId="0" fontId="33" fillId="0" borderId="8" xfId="178" applyFont="1" applyFill="1" applyBorder="1" applyAlignment="1">
      <alignment horizontal="left" vertical="center"/>
    </xf>
    <xf numFmtId="0" fontId="15" fillId="0" borderId="0" xfId="178" applyFont="1" applyFill="1" applyAlignment="1">
      <alignment horizontal="center" vertical="center"/>
    </xf>
    <xf numFmtId="0" fontId="6" fillId="0" borderId="26" xfId="178" applyFont="1" applyFill="1" applyBorder="1" applyAlignment="1">
      <alignment horizontal="center" vertical="center"/>
    </xf>
    <xf numFmtId="0" fontId="66" fillId="0" borderId="28" xfId="178" applyFont="1" applyFill="1" applyBorder="1" applyAlignment="1">
      <alignment horizontal="right" vertical="center"/>
    </xf>
    <xf numFmtId="0" fontId="69" fillId="0" borderId="29" xfId="178" applyFont="1" applyFill="1" applyBorder="1" applyAlignment="1">
      <alignment horizontal="left" vertical="center"/>
    </xf>
    <xf numFmtId="49" fontId="33" fillId="0" borderId="26" xfId="178" applyNumberFormat="1" applyFont="1" applyFill="1" applyBorder="1" applyAlignment="1">
      <alignment horizontal="center" vertical="center"/>
    </xf>
    <xf numFmtId="0" fontId="15" fillId="0" borderId="26" xfId="178" applyFont="1" applyFill="1" applyBorder="1" applyAlignment="1">
      <alignment horizontal="left" vertical="center" wrapText="1"/>
    </xf>
    <xf numFmtId="0" fontId="6" fillId="0" borderId="28" xfId="178" applyNumberFormat="1" applyFont="1" applyFill="1" applyBorder="1" applyAlignment="1">
      <alignment horizontal="center" vertical="center"/>
    </xf>
    <xf numFmtId="2" fontId="70" fillId="0" borderId="26" xfId="178" applyNumberFormat="1" applyFont="1" applyFill="1" applyBorder="1" applyAlignment="1">
      <alignment horizontal="center" vertical="center"/>
    </xf>
    <xf numFmtId="0" fontId="6" fillId="0" borderId="26" xfId="178" applyNumberFormat="1" applyFont="1" applyFill="1" applyBorder="1" applyAlignment="1">
      <alignment horizontal="center" vertical="center"/>
    </xf>
    <xf numFmtId="2" fontId="34" fillId="0" borderId="0" xfId="178" applyNumberFormat="1" applyFont="1" applyFill="1" applyAlignment="1">
      <alignment horizontal="center" vertical="center"/>
    </xf>
    <xf numFmtId="0" fontId="34" fillId="0" borderId="8" xfId="153" applyFont="1" applyFill="1" applyBorder="1" applyAlignment="1">
      <alignment vertical="center"/>
    </xf>
    <xf numFmtId="0" fontId="31" fillId="0" borderId="0" xfId="153" applyNumberFormat="1" applyFont="1" applyFill="1" applyAlignment="1">
      <alignment horizontal="center"/>
    </xf>
    <xf numFmtId="1" fontId="31" fillId="0" borderId="0" xfId="153" applyNumberFormat="1" applyFont="1" applyFill="1"/>
    <xf numFmtId="49" fontId="71" fillId="0" borderId="0" xfId="1225" applyNumberFormat="1" applyFont="1" applyFill="1" applyBorder="1" applyAlignment="1">
      <alignment horizontal="center"/>
    </xf>
    <xf numFmtId="0" fontId="8" fillId="0" borderId="0" xfId="153" applyFont="1" applyFill="1" applyAlignment="1">
      <alignment horizontal="right"/>
    </xf>
    <xf numFmtId="0" fontId="8" fillId="0" borderId="0" xfId="153" applyFont="1" applyFill="1" applyAlignment="1">
      <alignment horizontal="center"/>
    </xf>
    <xf numFmtId="0" fontId="15" fillId="0" borderId="0" xfId="153" applyFont="1" applyFill="1" applyAlignment="1">
      <alignment horizontal="left"/>
    </xf>
    <xf numFmtId="0" fontId="14" fillId="0" borderId="0" xfId="153" applyFont="1" applyFill="1" applyAlignment="1">
      <alignment horizontal="center"/>
    </xf>
    <xf numFmtId="0" fontId="14" fillId="0" borderId="0" xfId="153" applyFont="1" applyFill="1" applyAlignment="1">
      <alignment horizontal="left"/>
    </xf>
    <xf numFmtId="0" fontId="8" fillId="0" borderId="30" xfId="153" applyFont="1" applyFill="1" applyBorder="1" applyAlignment="1">
      <alignment horizontal="center"/>
    </xf>
    <xf numFmtId="0" fontId="8" fillId="0" borderId="31" xfId="153" applyFont="1" applyFill="1" applyBorder="1" applyAlignment="1">
      <alignment horizontal="center"/>
    </xf>
    <xf numFmtId="0" fontId="8" fillId="0" borderId="32" xfId="153" applyFont="1" applyFill="1" applyBorder="1" applyAlignment="1">
      <alignment horizontal="right"/>
    </xf>
    <xf numFmtId="0" fontId="8" fillId="0" borderId="33" xfId="153" applyFont="1" applyFill="1" applyBorder="1" applyAlignment="1">
      <alignment horizontal="left"/>
    </xf>
    <xf numFmtId="49" fontId="15" fillId="0" borderId="34" xfId="153" applyNumberFormat="1" applyFont="1" applyFill="1" applyBorder="1" applyAlignment="1">
      <alignment horizontal="left"/>
    </xf>
    <xf numFmtId="0" fontId="15" fillId="0" borderId="34" xfId="153" applyNumberFormat="1" applyFont="1" applyFill="1" applyBorder="1" applyAlignment="1">
      <alignment horizontal="left"/>
    </xf>
    <xf numFmtId="1" fontId="8" fillId="0" borderId="32" xfId="153" applyNumberFormat="1" applyFont="1" applyFill="1" applyBorder="1" applyAlignment="1">
      <alignment horizontal="center"/>
    </xf>
    <xf numFmtId="177" fontId="8" fillId="0" borderId="34" xfId="153" applyNumberFormat="1" applyFont="1" applyFill="1" applyBorder="1" applyAlignment="1">
      <alignment horizontal="center"/>
    </xf>
    <xf numFmtId="0" fontId="8" fillId="0" borderId="34" xfId="153" applyFont="1" applyFill="1" applyBorder="1" applyAlignment="1">
      <alignment horizontal="center"/>
    </xf>
    <xf numFmtId="0" fontId="8" fillId="0" borderId="35" xfId="153" applyFont="1" applyFill="1" applyBorder="1" applyAlignment="1">
      <alignment horizontal="center"/>
    </xf>
    <xf numFmtId="0" fontId="72" fillId="0" borderId="36" xfId="892" applyFont="1" applyBorder="1" applyAlignment="1">
      <alignment horizontal="center"/>
    </xf>
    <xf numFmtId="0" fontId="72" fillId="0" borderId="37" xfId="892" applyFont="1" applyBorder="1" applyAlignment="1">
      <alignment horizontal="right"/>
    </xf>
    <xf numFmtId="0" fontId="70" fillId="0" borderId="38" xfId="892" applyFont="1" applyBorder="1" applyAlignment="1">
      <alignment horizontal="left"/>
    </xf>
    <xf numFmtId="49" fontId="72" fillId="0" borderId="39" xfId="892" applyNumberFormat="1" applyFont="1" applyBorder="1" applyAlignment="1">
      <alignment horizontal="center"/>
    </xf>
    <xf numFmtId="0" fontId="38" fillId="0" borderId="40" xfId="153" applyFont="1" applyFill="1" applyBorder="1" applyAlignment="1">
      <alignment horizontal="left"/>
    </xf>
    <xf numFmtId="0" fontId="72" fillId="0" borderId="41" xfId="892" applyFont="1" applyBorder="1" applyAlignment="1">
      <alignment horizontal="left"/>
    </xf>
    <xf numFmtId="0" fontId="65" fillId="0" borderId="8" xfId="153" applyFont="1" applyFill="1" applyBorder="1" applyAlignment="1">
      <alignment horizontal="center"/>
    </xf>
    <xf numFmtId="0" fontId="38" fillId="0" borderId="13" xfId="153" applyFont="1" applyFill="1" applyBorder="1" applyAlignment="1">
      <alignment horizontal="right"/>
    </xf>
    <xf numFmtId="0" fontId="39" fillId="0" borderId="14" xfId="153" applyFont="1" applyFill="1" applyBorder="1" applyAlignment="1">
      <alignment horizontal="left"/>
    </xf>
    <xf numFmtId="49" fontId="38" fillId="0" borderId="8" xfId="153" applyNumberFormat="1" applyFont="1" applyFill="1" applyBorder="1" applyAlignment="1">
      <alignment horizontal="left"/>
    </xf>
    <xf numFmtId="0" fontId="38" fillId="0" borderId="8" xfId="153" applyFont="1" applyFill="1" applyBorder="1" applyAlignment="1">
      <alignment horizontal="left"/>
    </xf>
    <xf numFmtId="0" fontId="6" fillId="0" borderId="42" xfId="153" applyFont="1" applyFill="1" applyBorder="1" applyAlignment="1">
      <alignment horizontal="left"/>
    </xf>
    <xf numFmtId="0" fontId="72" fillId="0" borderId="8" xfId="892" applyFont="1" applyBorder="1" applyAlignment="1">
      <alignment horizontal="center"/>
    </xf>
    <xf numFmtId="0" fontId="72" fillId="0" borderId="25" xfId="892" applyFont="1" applyFill="1" applyBorder="1" applyAlignment="1">
      <alignment horizontal="right"/>
    </xf>
    <xf numFmtId="0" fontId="70" fillId="0" borderId="25" xfId="892" applyFont="1" applyFill="1" applyBorder="1" applyAlignment="1">
      <alignment horizontal="left"/>
    </xf>
    <xf numFmtId="49" fontId="72" fillId="0" borderId="8" xfId="892" applyNumberFormat="1" applyFont="1" applyFill="1" applyBorder="1" applyAlignment="1">
      <alignment horizontal="center"/>
    </xf>
    <xf numFmtId="0" fontId="72" fillId="0" borderId="43" xfId="892" applyFont="1" applyFill="1" applyBorder="1" applyAlignment="1">
      <alignment horizontal="left"/>
    </xf>
    <xf numFmtId="0" fontId="65" fillId="0" borderId="44" xfId="153" applyFont="1" applyFill="1" applyBorder="1" applyAlignment="1">
      <alignment horizontal="center"/>
    </xf>
    <xf numFmtId="0" fontId="38" fillId="0" borderId="45" xfId="153" applyFont="1" applyFill="1" applyBorder="1" applyAlignment="1">
      <alignment horizontal="right"/>
    </xf>
    <xf numFmtId="0" fontId="39" fillId="0" borderId="46" xfId="153" applyFont="1" applyFill="1" applyBorder="1" applyAlignment="1">
      <alignment horizontal="left"/>
    </xf>
    <xf numFmtId="49" fontId="38" fillId="0" borderId="46" xfId="153" applyNumberFormat="1" applyFont="1" applyFill="1" applyBorder="1" applyAlignment="1">
      <alignment horizontal="left"/>
    </xf>
    <xf numFmtId="0" fontId="38" fillId="0" borderId="44" xfId="153" applyFont="1" applyFill="1" applyBorder="1" applyAlignment="1">
      <alignment horizontal="left"/>
    </xf>
    <xf numFmtId="0" fontId="6" fillId="0" borderId="47" xfId="153" applyFont="1" applyFill="1" applyBorder="1" applyAlignment="1">
      <alignment horizontal="left"/>
    </xf>
    <xf numFmtId="49" fontId="6" fillId="0" borderId="0" xfId="153" applyNumberFormat="1" applyFont="1" applyFill="1" applyAlignment="1">
      <alignment horizontal="left"/>
    </xf>
    <xf numFmtId="0" fontId="6" fillId="0" borderId="0" xfId="153" applyNumberFormat="1" applyFont="1" applyFill="1" applyAlignment="1">
      <alignment horizontal="left"/>
    </xf>
    <xf numFmtId="1" fontId="6" fillId="0" borderId="0" xfId="153" applyNumberFormat="1" applyFont="1" applyFill="1" applyAlignment="1">
      <alignment horizontal="center"/>
    </xf>
    <xf numFmtId="177" fontId="6" fillId="0" borderId="0" xfId="153" applyNumberFormat="1" applyFont="1" applyFill="1" applyAlignment="1">
      <alignment horizontal="center"/>
    </xf>
    <xf numFmtId="0" fontId="8" fillId="0" borderId="48" xfId="153" applyFont="1" applyFill="1" applyBorder="1" applyAlignment="1">
      <alignment horizontal="center"/>
    </xf>
    <xf numFmtId="0" fontId="8" fillId="0" borderId="49" xfId="153" applyFont="1" applyFill="1" applyBorder="1" applyAlignment="1">
      <alignment horizontal="center"/>
    </xf>
    <xf numFmtId="0" fontId="8" fillId="0" borderId="36" xfId="153" applyFont="1" applyFill="1" applyBorder="1" applyAlignment="1">
      <alignment horizontal="right"/>
    </xf>
    <xf numFmtId="0" fontId="8" fillId="0" borderId="39" xfId="153" applyFont="1" applyFill="1" applyBorder="1" applyAlignment="1">
      <alignment horizontal="left"/>
    </xf>
    <xf numFmtId="49" fontId="15" fillId="0" borderId="40" xfId="153" applyNumberFormat="1" applyFont="1" applyFill="1" applyBorder="1" applyAlignment="1">
      <alignment horizontal="left"/>
    </xf>
    <xf numFmtId="0" fontId="15" fillId="0" borderId="40" xfId="153" applyNumberFormat="1" applyFont="1" applyFill="1" applyBorder="1" applyAlignment="1">
      <alignment horizontal="left"/>
    </xf>
    <xf numFmtId="1" fontId="8" fillId="0" borderId="36" xfId="153" applyNumberFormat="1" applyFont="1" applyFill="1" applyBorder="1" applyAlignment="1">
      <alignment horizontal="center"/>
    </xf>
    <xf numFmtId="177" fontId="8" fillId="0" borderId="40" xfId="153" applyNumberFormat="1" applyFont="1" applyFill="1" applyBorder="1" applyAlignment="1">
      <alignment horizontal="center"/>
    </xf>
    <xf numFmtId="0" fontId="8" fillId="0" borderId="40" xfId="153" applyFont="1" applyFill="1" applyBorder="1" applyAlignment="1">
      <alignment horizontal="center"/>
    </xf>
    <xf numFmtId="0" fontId="8" fillId="0" borderId="41" xfId="153" applyFont="1" applyFill="1" applyBorder="1" applyAlignment="1">
      <alignment horizontal="center"/>
    </xf>
    <xf numFmtId="0" fontId="65" fillId="0" borderId="50" xfId="153" applyFont="1" applyFill="1" applyBorder="1" applyAlignment="1">
      <alignment horizontal="center"/>
    </xf>
    <xf numFmtId="0" fontId="38" fillId="0" borderId="37" xfId="153" applyFont="1" applyFill="1" applyBorder="1" applyAlignment="1">
      <alignment horizontal="right"/>
    </xf>
    <xf numFmtId="0" fontId="39" fillId="0" borderId="38" xfId="153" applyFont="1" applyFill="1" applyBorder="1" applyAlignment="1">
      <alignment horizontal="left"/>
    </xf>
    <xf numFmtId="49" fontId="38" fillId="0" borderId="50" xfId="153" applyNumberFormat="1" applyFont="1" applyFill="1" applyBorder="1" applyAlignment="1"/>
    <xf numFmtId="0" fontId="38" fillId="0" borderId="50" xfId="153" applyFont="1" applyFill="1" applyBorder="1" applyAlignment="1">
      <alignment horizontal="left"/>
    </xf>
    <xf numFmtId="0" fontId="6" fillId="0" borderId="51" xfId="153" applyFont="1" applyFill="1" applyBorder="1" applyAlignment="1">
      <alignment horizontal="left"/>
    </xf>
    <xf numFmtId="0" fontId="65" fillId="0" borderId="20" xfId="153" applyFont="1" applyFill="1" applyBorder="1" applyAlignment="1">
      <alignment horizontal="center"/>
    </xf>
    <xf numFmtId="0" fontId="38" fillId="0" borderId="22" xfId="153" applyFont="1" applyFill="1" applyBorder="1" applyAlignment="1">
      <alignment horizontal="right"/>
    </xf>
    <xf numFmtId="0" fontId="39" fillId="0" borderId="21" xfId="153" applyFont="1" applyFill="1" applyBorder="1" applyAlignment="1">
      <alignment horizontal="left"/>
    </xf>
    <xf numFmtId="49" fontId="38" fillId="0" borderId="20" xfId="153" applyNumberFormat="1" applyFont="1" applyFill="1" applyBorder="1" applyAlignment="1"/>
    <xf numFmtId="0" fontId="38" fillId="0" borderId="20" xfId="153" applyFont="1" applyFill="1" applyBorder="1" applyAlignment="1">
      <alignment horizontal="left"/>
    </xf>
    <xf numFmtId="49" fontId="38" fillId="0" borderId="8" xfId="153" applyNumberFormat="1" applyFont="1" applyFill="1" applyBorder="1" applyAlignment="1"/>
    <xf numFmtId="0" fontId="72" fillId="26" borderId="44" xfId="153" applyFont="1" applyFill="1" applyBorder="1" applyAlignment="1">
      <alignment horizontal="center"/>
    </xf>
    <xf numFmtId="0" fontId="72" fillId="26" borderId="45" xfId="153" applyFont="1" applyFill="1" applyBorder="1" applyAlignment="1">
      <alignment horizontal="right"/>
    </xf>
    <xf numFmtId="0" fontId="70" fillId="26" borderId="46" xfId="153" applyFont="1" applyFill="1" applyBorder="1" applyAlignment="1">
      <alignment horizontal="left"/>
    </xf>
    <xf numFmtId="49" fontId="72" fillId="26" borderId="44" xfId="153" applyNumberFormat="1" applyFont="1" applyFill="1" applyBorder="1" applyAlignment="1"/>
    <xf numFmtId="0" fontId="2" fillId="0" borderId="0" xfId="139" applyFont="1" applyFill="1"/>
    <xf numFmtId="0" fontId="3" fillId="0" borderId="0" xfId="139" applyFont="1" applyFill="1"/>
    <xf numFmtId="49" fontId="3" fillId="0" borderId="0" xfId="139" applyNumberFormat="1" applyFont="1" applyFill="1"/>
    <xf numFmtId="0" fontId="3" fillId="0" borderId="0" xfId="139" applyNumberFormat="1" applyFont="1" applyFill="1" applyAlignment="1">
      <alignment horizontal="center"/>
    </xf>
    <xf numFmtId="1" fontId="3" fillId="0" borderId="0" xfId="139" applyNumberFormat="1" applyFont="1" applyFill="1" applyAlignment="1">
      <alignment horizontal="center"/>
    </xf>
    <xf numFmtId="177" fontId="31" fillId="0" borderId="0" xfId="139" applyNumberFormat="1" applyFont="1" applyFill="1"/>
    <xf numFmtId="0" fontId="6" fillId="0" borderId="0" xfId="139" applyFont="1" applyFill="1" applyAlignment="1">
      <alignment horizontal="center"/>
    </xf>
    <xf numFmtId="0" fontId="1" fillId="0" borderId="0" xfId="139" applyFont="1" applyFill="1"/>
    <xf numFmtId="0" fontId="5" fillId="0" borderId="0" xfId="139" applyFont="1" applyFill="1" applyAlignment="1">
      <alignment horizontal="right"/>
    </xf>
    <xf numFmtId="0" fontId="6" fillId="0" borderId="0" xfId="139" applyFont="1" applyFill="1"/>
    <xf numFmtId="0" fontId="7" fillId="0" borderId="0" xfId="139" applyFont="1" applyFill="1"/>
    <xf numFmtId="0" fontId="8" fillId="0" borderId="0" xfId="139" applyNumberFormat="1" applyFont="1" applyFill="1"/>
    <xf numFmtId="1" fontId="15" fillId="0" borderId="0" xfId="139" applyNumberFormat="1" applyFont="1" applyFill="1"/>
    <xf numFmtId="177" fontId="8" fillId="0" borderId="0" xfId="139" applyNumberFormat="1" applyFont="1" applyFill="1"/>
    <xf numFmtId="49" fontId="6" fillId="0" borderId="0" xfId="139" applyNumberFormat="1" applyFont="1" applyFill="1" applyAlignment="1">
      <alignment horizontal="center"/>
    </xf>
    <xf numFmtId="0" fontId="11" fillId="0" borderId="0" xfId="139" applyFont="1" applyFill="1"/>
    <xf numFmtId="0" fontId="10" fillId="0" borderId="0" xfId="139" applyFont="1" applyFill="1"/>
    <xf numFmtId="0" fontId="12" fillId="0" borderId="0" xfId="139" applyFont="1" applyFill="1"/>
    <xf numFmtId="49" fontId="9" fillId="0" borderId="0" xfId="139" applyNumberFormat="1" applyFont="1" applyFill="1"/>
    <xf numFmtId="0" fontId="9" fillId="0" borderId="0" xfId="139" applyNumberFormat="1" applyFont="1" applyFill="1"/>
    <xf numFmtId="1" fontId="10" fillId="0" borderId="0" xfId="139" applyNumberFormat="1" applyFont="1" applyFill="1"/>
    <xf numFmtId="49" fontId="10" fillId="0" borderId="0" xfId="139" applyNumberFormat="1" applyFont="1" applyFill="1"/>
    <xf numFmtId="49" fontId="5" fillId="0" borderId="0" xfId="139" applyNumberFormat="1" applyFont="1" applyFill="1" applyAlignment="1">
      <alignment horizontal="right"/>
    </xf>
    <xf numFmtId="49" fontId="8" fillId="0" borderId="0" xfId="139" applyNumberFormat="1" applyFont="1" applyFill="1"/>
    <xf numFmtId="0" fontId="14" fillId="0" borderId="0" xfId="139" applyFont="1" applyFill="1"/>
    <xf numFmtId="49" fontId="14" fillId="0" borderId="0" xfId="139" applyNumberFormat="1" applyFont="1" applyFill="1"/>
    <xf numFmtId="0" fontId="14" fillId="0" borderId="0" xfId="139" applyNumberFormat="1" applyFont="1" applyFill="1" applyAlignment="1">
      <alignment horizontal="left"/>
    </xf>
    <xf numFmtId="49" fontId="15" fillId="0" borderId="0" xfId="139" applyNumberFormat="1" applyFont="1" applyFill="1"/>
    <xf numFmtId="0" fontId="15" fillId="0" borderId="0" xfId="139" applyNumberFormat="1" applyFont="1" applyFill="1"/>
    <xf numFmtId="177" fontId="15" fillId="0" borderId="0" xfId="139" applyNumberFormat="1" applyFont="1" applyFill="1"/>
    <xf numFmtId="0" fontId="12" fillId="0" borderId="7" xfId="139" applyFont="1" applyFill="1" applyBorder="1"/>
    <xf numFmtId="49" fontId="12" fillId="0" borderId="7" xfId="139" applyNumberFormat="1" applyFont="1" applyFill="1" applyBorder="1"/>
    <xf numFmtId="0" fontId="4" fillId="0" borderId="0" xfId="139" applyNumberFormat="1" applyFont="1" applyFill="1"/>
    <xf numFmtId="0" fontId="12" fillId="0" borderId="7" xfId="139" applyFont="1" applyFill="1" applyBorder="1" applyAlignment="1">
      <alignment horizontal="center"/>
    </xf>
    <xf numFmtId="0" fontId="65" fillId="0" borderId="7" xfId="139" applyFont="1" applyFill="1" applyBorder="1"/>
    <xf numFmtId="0" fontId="65" fillId="0" borderId="7" xfId="139" applyFont="1" applyFill="1" applyBorder="1" applyAlignment="1">
      <alignment horizontal="center"/>
    </xf>
    <xf numFmtId="49" fontId="65" fillId="0" borderId="7" xfId="139" applyNumberFormat="1" applyFont="1" applyFill="1" applyBorder="1"/>
    <xf numFmtId="49" fontId="4" fillId="0" borderId="0" xfId="139" applyNumberFormat="1" applyFont="1" applyFill="1"/>
    <xf numFmtId="177" fontId="6" fillId="0" borderId="0" xfId="153" applyNumberFormat="1" applyFont="1" applyFill="1"/>
    <xf numFmtId="177" fontId="8" fillId="0" borderId="8" xfId="153" applyNumberFormat="1" applyFont="1" applyFill="1" applyBorder="1" applyAlignment="1">
      <alignment horizontal="center"/>
    </xf>
    <xf numFmtId="0" fontId="3" fillId="0" borderId="52" xfId="153" applyFont="1" applyFill="1" applyBorder="1" applyAlignment="1">
      <alignment horizontal="left" vertical="center"/>
    </xf>
    <xf numFmtId="0" fontId="10" fillId="0" borderId="53" xfId="153" applyFont="1" applyFill="1" applyBorder="1" applyAlignment="1">
      <alignment horizontal="right" vertical="center"/>
    </xf>
    <xf numFmtId="0" fontId="6" fillId="0" borderId="40" xfId="153" applyFont="1" applyFill="1" applyBorder="1" applyAlignment="1">
      <alignment horizontal="center" vertical="center"/>
    </xf>
    <xf numFmtId="0" fontId="6" fillId="0" borderId="59" xfId="153" applyFont="1" applyFill="1" applyBorder="1" applyAlignment="1">
      <alignment horizontal="center" vertical="center"/>
    </xf>
    <xf numFmtId="0" fontId="6" fillId="0" borderId="24" xfId="153" applyFont="1" applyFill="1" applyBorder="1" applyAlignment="1">
      <alignment horizontal="center" vertical="center"/>
    </xf>
    <xf numFmtId="0" fontId="6" fillId="0" borderId="58" xfId="153" applyFont="1" applyFill="1" applyBorder="1" applyAlignment="1">
      <alignment horizontal="center" vertical="center"/>
    </xf>
    <xf numFmtId="0" fontId="31" fillId="0" borderId="54" xfId="153" applyFont="1" applyFill="1" applyBorder="1" applyAlignment="1">
      <alignment horizontal="center" vertical="center"/>
    </xf>
    <xf numFmtId="0" fontId="31" fillId="0" borderId="55" xfId="153" applyFont="1" applyFill="1" applyBorder="1" applyAlignment="1">
      <alignment horizontal="center" vertical="center"/>
    </xf>
    <xf numFmtId="0" fontId="31" fillId="0" borderId="56" xfId="153" applyFont="1" applyFill="1" applyBorder="1" applyAlignment="1">
      <alignment horizontal="center" vertical="center"/>
    </xf>
    <xf numFmtId="0" fontId="6" fillId="0" borderId="57" xfId="153" applyFont="1" applyFill="1" applyBorder="1" applyAlignment="1">
      <alignment horizontal="center" vertical="center"/>
    </xf>
    <xf numFmtId="177" fontId="7" fillId="0" borderId="40" xfId="153" applyNumberFormat="1" applyFont="1" applyFill="1" applyBorder="1" applyAlignment="1">
      <alignment horizontal="center" vertical="center"/>
    </xf>
    <xf numFmtId="177" fontId="7" fillId="0" borderId="24" xfId="153" applyNumberFormat="1" applyFont="1" applyFill="1" applyBorder="1" applyAlignment="1">
      <alignment horizontal="center" vertical="center"/>
    </xf>
    <xf numFmtId="177" fontId="7" fillId="0" borderId="58" xfId="153" applyNumberFormat="1" applyFont="1" applyFill="1" applyBorder="1" applyAlignment="1">
      <alignment horizontal="center" vertical="center"/>
    </xf>
    <xf numFmtId="49" fontId="52" fillId="0" borderId="40" xfId="153" applyNumberFormat="1" applyFont="1" applyFill="1" applyBorder="1" applyAlignment="1">
      <alignment horizontal="center" vertical="center"/>
    </xf>
    <xf numFmtId="49" fontId="52" fillId="0" borderId="24" xfId="153" applyNumberFormat="1" applyFont="1" applyFill="1" applyBorder="1" applyAlignment="1">
      <alignment horizontal="center" vertical="center"/>
    </xf>
    <xf numFmtId="49" fontId="52" fillId="0" borderId="58" xfId="153" applyNumberFormat="1" applyFont="1" applyFill="1" applyBorder="1" applyAlignment="1">
      <alignment horizontal="center" vertical="center"/>
    </xf>
    <xf numFmtId="0" fontId="31" fillId="0" borderId="60" xfId="153" applyFont="1" applyFill="1" applyBorder="1" applyAlignment="1">
      <alignment horizontal="center" vertical="center"/>
    </xf>
    <xf numFmtId="1" fontId="6" fillId="0" borderId="40" xfId="153" applyNumberFormat="1" applyFont="1" applyFill="1" applyBorder="1" applyAlignment="1">
      <alignment horizontal="center" vertical="center"/>
    </xf>
    <xf numFmtId="1" fontId="6" fillId="0" borderId="24" xfId="153" applyNumberFormat="1" applyFont="1" applyFill="1" applyBorder="1" applyAlignment="1">
      <alignment horizontal="center" vertical="center"/>
    </xf>
    <xf numFmtId="1" fontId="6" fillId="0" borderId="58" xfId="153" applyNumberFormat="1" applyFont="1" applyFill="1" applyBorder="1" applyAlignment="1">
      <alignment horizontal="center" vertical="center"/>
    </xf>
    <xf numFmtId="49" fontId="15" fillId="0" borderId="13" xfId="178" applyNumberFormat="1" applyFont="1" applyFill="1" applyBorder="1" applyAlignment="1">
      <alignment horizontal="center" vertical="center"/>
    </xf>
    <xf numFmtId="49" fontId="15" fillId="0" borderId="7" xfId="178" applyNumberFormat="1" applyFont="1" applyFill="1" applyBorder="1" applyAlignment="1">
      <alignment horizontal="center" vertical="center"/>
    </xf>
    <xf numFmtId="49" fontId="15" fillId="0" borderId="14" xfId="178" applyNumberFormat="1" applyFont="1" applyFill="1" applyBorder="1" applyAlignment="1">
      <alignment horizontal="center" vertical="center"/>
    </xf>
    <xf numFmtId="0" fontId="6" fillId="0" borderId="13" xfId="153" applyFont="1" applyFill="1" applyBorder="1" applyAlignment="1">
      <alignment horizontal="center"/>
    </xf>
    <xf numFmtId="0" fontId="6" fillId="0" borderId="7" xfId="153" applyFont="1" applyFill="1" applyBorder="1" applyAlignment="1">
      <alignment horizontal="center"/>
    </xf>
    <xf numFmtId="0" fontId="6" fillId="0" borderId="14" xfId="153" applyFont="1" applyFill="1" applyBorder="1" applyAlignment="1">
      <alignment horizontal="center"/>
    </xf>
    <xf numFmtId="0" fontId="6" fillId="0" borderId="13" xfId="178" applyFont="1" applyFill="1" applyBorder="1" applyAlignment="1">
      <alignment horizontal="center"/>
    </xf>
    <xf numFmtId="0" fontId="6" fillId="0" borderId="7" xfId="178" applyFont="1" applyFill="1" applyBorder="1" applyAlignment="1">
      <alignment horizontal="center"/>
    </xf>
    <xf numFmtId="0" fontId="6" fillId="0" borderId="14" xfId="178" applyFont="1" applyFill="1" applyBorder="1" applyAlignment="1">
      <alignment horizontal="center"/>
    </xf>
  </cellXfs>
  <cellStyles count="1250">
    <cellStyle name="1 antraštė" xfId="1"/>
    <cellStyle name="2 antraštė" xfId="2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3 antraštė" xfId="9"/>
    <cellStyle name="4 antraštė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Aiškinamasis tekstas" xfId="29"/>
    <cellStyle name="Bad 2" xfId="30"/>
    <cellStyle name="Calc Currency (0)" xfId="31"/>
    <cellStyle name="Calc Currency (2)" xfId="32"/>
    <cellStyle name="Calc Percent (0)" xfId="33"/>
    <cellStyle name="Calc Percent (1)" xfId="34"/>
    <cellStyle name="Calc Percent (2)" xfId="35"/>
    <cellStyle name="Calc Units (0)" xfId="36"/>
    <cellStyle name="Calc Units (1)" xfId="37"/>
    <cellStyle name="Calc Units (2)" xfId="38"/>
    <cellStyle name="Calculation 2" xfId="39"/>
    <cellStyle name="Check Cell 2" xfId="40"/>
    <cellStyle name="Comma [00]" xfId="41"/>
    <cellStyle name="Comma 10" xfId="42"/>
    <cellStyle name="Comma 10 2" xfId="43"/>
    <cellStyle name="Comma 11" xfId="44"/>
    <cellStyle name="Comma 11 2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15" xfId="52"/>
    <cellStyle name="Comma 15 2" xfId="53"/>
    <cellStyle name="Comma 16" xfId="54"/>
    <cellStyle name="Comma 16 2" xfId="55"/>
    <cellStyle name="Comma 17" xfId="56"/>
    <cellStyle name="Comma 17 2" xfId="57"/>
    <cellStyle name="Comma 18" xfId="58"/>
    <cellStyle name="Comma 18 2" xfId="59"/>
    <cellStyle name="Comma 19" xfId="60"/>
    <cellStyle name="Comma 19 2" xfId="61"/>
    <cellStyle name="Comma 2" xfId="62"/>
    <cellStyle name="Comma 2 2" xfId="63"/>
    <cellStyle name="Comma 2 3" xfId="64"/>
    <cellStyle name="Comma 2_DALYVIAI" xfId="65"/>
    <cellStyle name="Comma 20" xfId="66"/>
    <cellStyle name="Comma 20 2" xfId="67"/>
    <cellStyle name="Comma 21" xfId="68"/>
    <cellStyle name="Comma 21 2" xfId="69"/>
    <cellStyle name="Comma 22" xfId="70"/>
    <cellStyle name="Comma 22 2" xfId="71"/>
    <cellStyle name="Comma 23" xfId="72"/>
    <cellStyle name="Comma 23 2" xfId="73"/>
    <cellStyle name="Comma 24" xfId="74"/>
    <cellStyle name="Comma 24 2" xfId="75"/>
    <cellStyle name="Comma 25" xfId="76"/>
    <cellStyle name="Comma 25 2" xfId="77"/>
    <cellStyle name="Comma 26" xfId="78"/>
    <cellStyle name="Comma 26 2" xfId="79"/>
    <cellStyle name="Comma 27" xfId="80"/>
    <cellStyle name="Comma 27 2" xfId="81"/>
    <cellStyle name="Comma 28" xfId="82"/>
    <cellStyle name="Comma 28 2" xfId="83"/>
    <cellStyle name="Comma 29" xfId="84"/>
    <cellStyle name="Comma 29 2" xfId="85"/>
    <cellStyle name="Comma 3" xfId="86"/>
    <cellStyle name="Comma 3 2" xfId="87"/>
    <cellStyle name="Comma 30" xfId="88"/>
    <cellStyle name="Comma 30 2" xfId="89"/>
    <cellStyle name="Comma 30 2 2" xfId="90"/>
    <cellStyle name="Comma 30 3" xfId="91"/>
    <cellStyle name="Comma 30 3 2" xfId="92"/>
    <cellStyle name="Comma 30 4" xfId="93"/>
    <cellStyle name="Comma 31" xfId="94"/>
    <cellStyle name="Comma 31 2" xfId="95"/>
    <cellStyle name="Comma 32" xfId="96"/>
    <cellStyle name="Comma 32 2" xfId="97"/>
    <cellStyle name="Comma 33" xfId="98"/>
    <cellStyle name="Comma 33 2" xfId="99"/>
    <cellStyle name="Comma 34" xfId="100"/>
    <cellStyle name="Comma 34 2" xfId="101"/>
    <cellStyle name="Comma 35" xfId="102"/>
    <cellStyle name="Comma 35 2" xfId="103"/>
    <cellStyle name="Comma 4" xfId="104"/>
    <cellStyle name="Comma 4 2" xfId="105"/>
    <cellStyle name="Comma 5" xfId="106"/>
    <cellStyle name="Comma 5 2" xfId="107"/>
    <cellStyle name="Comma 6" xfId="108"/>
    <cellStyle name="Comma 6 2" xfId="109"/>
    <cellStyle name="Comma 7" xfId="110"/>
    <cellStyle name="Comma 7 2" xfId="111"/>
    <cellStyle name="Comma 8" xfId="112"/>
    <cellStyle name="Comma 8 2" xfId="113"/>
    <cellStyle name="Comma 9" xfId="114"/>
    <cellStyle name="Comma 9 2" xfId="115"/>
    <cellStyle name="Currency [00]" xfId="116"/>
    <cellStyle name="Currency 2" xfId="117"/>
    <cellStyle name="Date Short" xfId="118"/>
    <cellStyle name="Dziesiętny [0]_PLDT" xfId="119"/>
    <cellStyle name="Dziesiętny_PLDT" xfId="120"/>
    <cellStyle name="Enter Currency (0)" xfId="121"/>
    <cellStyle name="Enter Currency (2)" xfId="122"/>
    <cellStyle name="Enter Units (0)" xfId="123"/>
    <cellStyle name="Enter Units (1)" xfId="124"/>
    <cellStyle name="Enter Units (2)" xfId="125"/>
    <cellStyle name="Explanatory Text 2" xfId="126"/>
    <cellStyle name="Geras" xfId="127"/>
    <cellStyle name="Good 2" xfId="128"/>
    <cellStyle name="Grey" xfId="129"/>
    <cellStyle name="Header1" xfId="130"/>
    <cellStyle name="Header2" xfId="131"/>
    <cellStyle name="Heading 1 2" xfId="132"/>
    <cellStyle name="Heading 2 2" xfId="133"/>
    <cellStyle name="Heading 3 2" xfId="134"/>
    <cellStyle name="Heading 4 2" xfId="135"/>
    <cellStyle name="Hiperłącze" xfId="136"/>
    <cellStyle name="Input [yellow]" xfId="137"/>
    <cellStyle name="Input 2" xfId="138"/>
    <cellStyle name="Įprastas 2" xfId="139"/>
    <cellStyle name="Įprastas 2 2" xfId="140"/>
    <cellStyle name="Įprastas 2 3" xfId="141"/>
    <cellStyle name="Įprastas 3" xfId="142"/>
    <cellStyle name="Įspėjimo tekstas" xfId="143"/>
    <cellStyle name="Išvestis" xfId="144"/>
    <cellStyle name="Link Currency (0)" xfId="145"/>
    <cellStyle name="Link Currency (2)" xfId="146"/>
    <cellStyle name="Link Units (0)" xfId="147"/>
    <cellStyle name="Link Units (1)" xfId="148"/>
    <cellStyle name="Link Units (2)" xfId="149"/>
    <cellStyle name="Linked Cell 2" xfId="150"/>
    <cellStyle name="Neutral 2" xfId="151"/>
    <cellStyle name="Normal" xfId="0" builtinId="0"/>
    <cellStyle name="Normal - Style1" xfId="152"/>
    <cellStyle name="Normal 10" xfId="153"/>
    <cellStyle name="Normal 10 2" xfId="154"/>
    <cellStyle name="Normal 10 2 2" xfId="155"/>
    <cellStyle name="Normal 10 2 2 2" xfId="156"/>
    <cellStyle name="Normal 10 2 2 2 2" xfId="157"/>
    <cellStyle name="Normal 10 2 2 3" xfId="158"/>
    <cellStyle name="Normal 10 2 2 3 2" xfId="159"/>
    <cellStyle name="Normal 10 2 2 4" xfId="160"/>
    <cellStyle name="Normal 10 2 2 4 2" xfId="161"/>
    <cellStyle name="Normal 10 2 2_4x200 V" xfId="162"/>
    <cellStyle name="Normal 10 2 3" xfId="163"/>
    <cellStyle name="Normal 10 2 3 2" xfId="164"/>
    <cellStyle name="Normal 10 2 4" xfId="165"/>
    <cellStyle name="Normal 10 2 5" xfId="166"/>
    <cellStyle name="Normal 10 2 6" xfId="167"/>
    <cellStyle name="Normal 10 2_4x200 M" xfId="168"/>
    <cellStyle name="Normal 10 3" xfId="169"/>
    <cellStyle name="Normal 10 3 2" xfId="170"/>
    <cellStyle name="Normal 10 3 2 2" xfId="171"/>
    <cellStyle name="Normal 10 3 3" xfId="172"/>
    <cellStyle name="Normal 10 3 3 2" xfId="173"/>
    <cellStyle name="Normal 10 3 4" xfId="174"/>
    <cellStyle name="Normal 10 3 4 2" xfId="175"/>
    <cellStyle name="Normal 10 3 5" xfId="176"/>
    <cellStyle name="Normal 10 3_4x200 M" xfId="177"/>
    <cellStyle name="Normal 10 4" xfId="178"/>
    <cellStyle name="Normal 10 5" xfId="179"/>
    <cellStyle name="Normal 10 5 2" xfId="180"/>
    <cellStyle name="Normal 10 5 3" xfId="181"/>
    <cellStyle name="Normal 10 5 4" xfId="182"/>
    <cellStyle name="Normal 10 5_DALYVIAI" xfId="183"/>
    <cellStyle name="Normal 10 6" xfId="184"/>
    <cellStyle name="Normal 10 7" xfId="185"/>
    <cellStyle name="Normal 10_4x200 V" xfId="186"/>
    <cellStyle name="Normal 11" xfId="187"/>
    <cellStyle name="Normal 11 2" xfId="188"/>
    <cellStyle name="Normal 11 2 2" xfId="189"/>
    <cellStyle name="Normal 11 2 2 2" xfId="190"/>
    <cellStyle name="Normal 11 2 3" xfId="191"/>
    <cellStyle name="Normal 11 2 3 2" xfId="192"/>
    <cellStyle name="Normal 11 2 4" xfId="193"/>
    <cellStyle name="Normal 11 2 4 2" xfId="194"/>
    <cellStyle name="Normal 11 2 5" xfId="195"/>
    <cellStyle name="Normal 11 2_4x200 M" xfId="196"/>
    <cellStyle name="Normal 11 3" xfId="197"/>
    <cellStyle name="Normal 11 3 2" xfId="198"/>
    <cellStyle name="Normal 11 3 2 2" xfId="199"/>
    <cellStyle name="Normal 11 3 3" xfId="200"/>
    <cellStyle name="Normal 11 3 3 2" xfId="201"/>
    <cellStyle name="Normal 11 3 4" xfId="202"/>
    <cellStyle name="Normal 11 3 4 2" xfId="203"/>
    <cellStyle name="Normal 11 3 5" xfId="204"/>
    <cellStyle name="Normal 11 3_4x200 M" xfId="205"/>
    <cellStyle name="Normal 11 4" xfId="206"/>
    <cellStyle name="Normal 11 5" xfId="207"/>
    <cellStyle name="Normal 11 5 2" xfId="208"/>
    <cellStyle name="Normal 11 5 2 2" xfId="209"/>
    <cellStyle name="Normal 11 5 3" xfId="210"/>
    <cellStyle name="Normal 11 5 3 2" xfId="211"/>
    <cellStyle name="Normal 11 5 4" xfId="212"/>
    <cellStyle name="Normal 11 5 4 2" xfId="213"/>
    <cellStyle name="Normal 11 5_DALYVIAI" xfId="214"/>
    <cellStyle name="Normal 11 6" xfId="215"/>
    <cellStyle name="Normal 11 7" xfId="216"/>
    <cellStyle name="Normal 11 8" xfId="217"/>
    <cellStyle name="Normal 11_4x200 M" xfId="218"/>
    <cellStyle name="Normal 12" xfId="219"/>
    <cellStyle name="Normal 12 2" xfId="220"/>
    <cellStyle name="Normal 12 2 2" xfId="221"/>
    <cellStyle name="Normal 12 2 2 2" xfId="222"/>
    <cellStyle name="Normal 12 2 3" xfId="223"/>
    <cellStyle name="Normal 12 2 3 2" xfId="224"/>
    <cellStyle name="Normal 12 2 4" xfId="225"/>
    <cellStyle name="Normal 12 2 4 2" xfId="226"/>
    <cellStyle name="Normal 12 2 5" xfId="227"/>
    <cellStyle name="Normal 12 2_4x200 M" xfId="228"/>
    <cellStyle name="Normal 12 3" xfId="229"/>
    <cellStyle name="Normal 12 4" xfId="230"/>
    <cellStyle name="Normal 12 4 2" xfId="231"/>
    <cellStyle name="Normal 12 4 2 2" xfId="232"/>
    <cellStyle name="Normal 12 4 3" xfId="233"/>
    <cellStyle name="Normal 12 4 3 2" xfId="234"/>
    <cellStyle name="Normal 12 4 4" xfId="235"/>
    <cellStyle name="Normal 12 4 4 2" xfId="236"/>
    <cellStyle name="Normal 12 4_DALYVIAI" xfId="237"/>
    <cellStyle name="Normal 12 5" xfId="238"/>
    <cellStyle name="Normal 12 6" xfId="239"/>
    <cellStyle name="Normal 12 7" xfId="240"/>
    <cellStyle name="Normal 12_4x200 M" xfId="241"/>
    <cellStyle name="Normal 13" xfId="242"/>
    <cellStyle name="Normal 13 2" xfId="243"/>
    <cellStyle name="Normal 13 2 2" xfId="244"/>
    <cellStyle name="Normal 13 2 2 2" xfId="245"/>
    <cellStyle name="Normal 13 2 2 3" xfId="246"/>
    <cellStyle name="Normal 13 2 2 4" xfId="247"/>
    <cellStyle name="Normal 13 2 2 5" xfId="248"/>
    <cellStyle name="Normal 13 2 2_4x200 M" xfId="249"/>
    <cellStyle name="Normal 13 2 3" xfId="250"/>
    <cellStyle name="Normal 13 2 4" xfId="251"/>
    <cellStyle name="Normal 13 2 4 2" xfId="252"/>
    <cellStyle name="Normal 13 2 5" xfId="253"/>
    <cellStyle name="Normal 13 2 5 2" xfId="254"/>
    <cellStyle name="Normal 13 2_DALYVIAI" xfId="255"/>
    <cellStyle name="Normal 13 3" xfId="256"/>
    <cellStyle name="Normal 13 3 2" xfId="257"/>
    <cellStyle name="Normal 13 3 2 2" xfId="258"/>
    <cellStyle name="Normal 13 3 3" xfId="259"/>
    <cellStyle name="Normal 13 3 3 2" xfId="260"/>
    <cellStyle name="Normal 13 3 4" xfId="261"/>
    <cellStyle name="Normal 13 3 4 2" xfId="262"/>
    <cellStyle name="Normal 13 3_DALYVIAI" xfId="263"/>
    <cellStyle name="Normal 13 4" xfId="264"/>
    <cellStyle name="Normal 13 5" xfId="265"/>
    <cellStyle name="Normal 13 6" xfId="266"/>
    <cellStyle name="Normal 13_1500 V" xfId="267"/>
    <cellStyle name="Normal 14" xfId="268"/>
    <cellStyle name="Normal 14 2" xfId="269"/>
    <cellStyle name="Normal 14 2 2" xfId="270"/>
    <cellStyle name="Normal 14 2 2 2" xfId="271"/>
    <cellStyle name="Normal 14 2 2 3" xfId="272"/>
    <cellStyle name="Normal 14 2 2 4" xfId="273"/>
    <cellStyle name="Normal 14 2 2 5" xfId="274"/>
    <cellStyle name="Normal 14 2 2_4x200 M" xfId="275"/>
    <cellStyle name="Normal 14 2 3" xfId="276"/>
    <cellStyle name="Normal 14 2 4" xfId="277"/>
    <cellStyle name="Normal 14 2 4 2" xfId="278"/>
    <cellStyle name="Normal 14 2 5" xfId="279"/>
    <cellStyle name="Normal 14 2 5 2" xfId="280"/>
    <cellStyle name="Normal 14 2_DALYVIAI" xfId="281"/>
    <cellStyle name="Normal 14 3" xfId="282"/>
    <cellStyle name="Normal 14 3 2" xfId="283"/>
    <cellStyle name="Normal 14 3 2 2" xfId="284"/>
    <cellStyle name="Normal 14 3 3" xfId="285"/>
    <cellStyle name="Normal 14 3 3 2" xfId="286"/>
    <cellStyle name="Normal 14 3 4" xfId="287"/>
    <cellStyle name="Normal 14 3 4 2" xfId="288"/>
    <cellStyle name="Normal 14 3_DALYVIAI" xfId="289"/>
    <cellStyle name="Normal 14 4" xfId="290"/>
    <cellStyle name="Normal 14 5" xfId="291"/>
    <cellStyle name="Normal 14 6" xfId="292"/>
    <cellStyle name="Normal 14_4x200 M" xfId="293"/>
    <cellStyle name="Normal 15" xfId="294"/>
    <cellStyle name="Normal 15 2" xfId="295"/>
    <cellStyle name="Normal 15 2 2" xfId="296"/>
    <cellStyle name="Normal 15 2 2 2" xfId="297"/>
    <cellStyle name="Normal 15 2 3" xfId="298"/>
    <cellStyle name="Normal 15 2 3 2" xfId="299"/>
    <cellStyle name="Normal 15 2 4" xfId="300"/>
    <cellStyle name="Normal 15 2 4 2" xfId="301"/>
    <cellStyle name="Normal 15 2 5" xfId="302"/>
    <cellStyle name="Normal 15 2_4x200 M" xfId="303"/>
    <cellStyle name="Normal 15 3" xfId="304"/>
    <cellStyle name="Normal 15 4" xfId="305"/>
    <cellStyle name="Normal 15 4 2" xfId="306"/>
    <cellStyle name="Normal 15 4 2 2" xfId="307"/>
    <cellStyle name="Normal 15 4 3" xfId="308"/>
    <cellStyle name="Normal 15 4 3 2" xfId="309"/>
    <cellStyle name="Normal 15 4 4" xfId="310"/>
    <cellStyle name="Normal 15 4 4 2" xfId="311"/>
    <cellStyle name="Normal 15 4_DALYVIAI" xfId="312"/>
    <cellStyle name="Normal 15 5" xfId="313"/>
    <cellStyle name="Normal 15 6" xfId="314"/>
    <cellStyle name="Normal 15 7" xfId="315"/>
    <cellStyle name="Normal 15_4x200 M" xfId="316"/>
    <cellStyle name="Normal 16" xfId="317"/>
    <cellStyle name="Normal 16 2" xfId="318"/>
    <cellStyle name="Normal 16 2 2" xfId="319"/>
    <cellStyle name="Normal 16 2 2 2" xfId="320"/>
    <cellStyle name="Normal 16 2 3" xfId="321"/>
    <cellStyle name="Normal 16 2 3 2" xfId="322"/>
    <cellStyle name="Normal 16 2 4" xfId="323"/>
    <cellStyle name="Normal 16 2 4 2" xfId="324"/>
    <cellStyle name="Normal 16 2 5" xfId="325"/>
    <cellStyle name="Normal 16 2_4x200 M" xfId="326"/>
    <cellStyle name="Normal 16 3" xfId="327"/>
    <cellStyle name="Normal 16 3 2" xfId="328"/>
    <cellStyle name="Normal 16 4" xfId="329"/>
    <cellStyle name="Normal 16_4x200 M" xfId="330"/>
    <cellStyle name="Normal 17" xfId="331"/>
    <cellStyle name="Normal 17 2" xfId="332"/>
    <cellStyle name="Normal 17 2 2" xfId="333"/>
    <cellStyle name="Normal 17 2 2 2" xfId="334"/>
    <cellStyle name="Normal 17 2 3" xfId="335"/>
    <cellStyle name="Normal 17 2 3 2" xfId="336"/>
    <cellStyle name="Normal 17 2 4" xfId="337"/>
    <cellStyle name="Normal 17 2 4 2" xfId="338"/>
    <cellStyle name="Normal 17 2 5" xfId="339"/>
    <cellStyle name="Normal 17 2_4x200 M" xfId="340"/>
    <cellStyle name="Normal 17 3" xfId="341"/>
    <cellStyle name="Normal 17 4" xfId="342"/>
    <cellStyle name="Normal 17 4 2" xfId="343"/>
    <cellStyle name="Normal 17 4 2 2" xfId="344"/>
    <cellStyle name="Normal 17 4 3" xfId="345"/>
    <cellStyle name="Normal 17 4 3 2" xfId="346"/>
    <cellStyle name="Normal 17 4 4" xfId="347"/>
    <cellStyle name="Normal 17 4 4 2" xfId="348"/>
    <cellStyle name="Normal 17 4_DALYVIAI" xfId="349"/>
    <cellStyle name="Normal 17 5" xfId="350"/>
    <cellStyle name="Normal 17 6" xfId="351"/>
    <cellStyle name="Normal 17 7" xfId="352"/>
    <cellStyle name="Normal 17_4x200 M" xfId="353"/>
    <cellStyle name="Normal 18" xfId="354"/>
    <cellStyle name="Normal 18 2" xfId="355"/>
    <cellStyle name="Normal 18 2 2" xfId="356"/>
    <cellStyle name="Normal 18 2 2 2" xfId="357"/>
    <cellStyle name="Normal 18 2 2 3" xfId="358"/>
    <cellStyle name="Normal 18 2 2 4" xfId="359"/>
    <cellStyle name="Normal 18 2 2 5" xfId="360"/>
    <cellStyle name="Normal 18 2 2_4x200 M" xfId="361"/>
    <cellStyle name="Normal 18 2 3" xfId="362"/>
    <cellStyle name="Normal 18 2 4" xfId="363"/>
    <cellStyle name="Normal 18 2 4 2" xfId="364"/>
    <cellStyle name="Normal 18 2 5" xfId="365"/>
    <cellStyle name="Normal 18 2 5 2" xfId="366"/>
    <cellStyle name="Normal 18 2_DALYVIAI" xfId="367"/>
    <cellStyle name="Normal 18 3" xfId="368"/>
    <cellStyle name="Normal 18 3 2" xfId="369"/>
    <cellStyle name="Normal 18 3 2 2" xfId="370"/>
    <cellStyle name="Normal 18 3 3" xfId="371"/>
    <cellStyle name="Normal 18 3 3 2" xfId="372"/>
    <cellStyle name="Normal 18 3 4" xfId="373"/>
    <cellStyle name="Normal 18 3 4 2" xfId="374"/>
    <cellStyle name="Normal 18 3_DALYVIAI" xfId="375"/>
    <cellStyle name="Normal 18 4" xfId="376"/>
    <cellStyle name="Normal 18 5" xfId="377"/>
    <cellStyle name="Normal 18 6" xfId="378"/>
    <cellStyle name="Normal 18_4x200 M" xfId="379"/>
    <cellStyle name="Normal 19" xfId="380"/>
    <cellStyle name="Normal 19 2" xfId="381"/>
    <cellStyle name="Normal 19 2 2" xfId="382"/>
    <cellStyle name="Normal 19 2 2 2" xfId="383"/>
    <cellStyle name="Normal 19 2 2 3" xfId="384"/>
    <cellStyle name="Normal 19 2 2 4" xfId="385"/>
    <cellStyle name="Normal 19 2 2 5" xfId="386"/>
    <cellStyle name="Normal 19 2 2_4x200 M" xfId="387"/>
    <cellStyle name="Normal 19 2 3" xfId="388"/>
    <cellStyle name="Normal 19 2 4" xfId="389"/>
    <cellStyle name="Normal 19 2 4 2" xfId="390"/>
    <cellStyle name="Normal 19 2 5" xfId="391"/>
    <cellStyle name="Normal 19 2 5 2" xfId="392"/>
    <cellStyle name="Normal 19 2_DALYVIAI" xfId="393"/>
    <cellStyle name="Normal 19 3" xfId="394"/>
    <cellStyle name="Normal 19 3 2" xfId="395"/>
    <cellStyle name="Normal 19 3 2 2" xfId="396"/>
    <cellStyle name="Normal 19 3 3" xfId="397"/>
    <cellStyle name="Normal 19 3 3 2" xfId="398"/>
    <cellStyle name="Normal 19 3 4" xfId="399"/>
    <cellStyle name="Normal 19 3 4 2" xfId="400"/>
    <cellStyle name="Normal 19 3_DALYVIAI" xfId="401"/>
    <cellStyle name="Normal 19 4" xfId="402"/>
    <cellStyle name="Normal 19 5" xfId="403"/>
    <cellStyle name="Normal 19 6" xfId="404"/>
    <cellStyle name="Normal 19_4x200 M" xfId="405"/>
    <cellStyle name="Normal 2" xfId="406"/>
    <cellStyle name="Normal 2 2" xfId="407"/>
    <cellStyle name="Normal 2 2 10" xfId="408"/>
    <cellStyle name="Normal 2 2 10 2" xfId="409"/>
    <cellStyle name="Normal 2 2 10 2 2" xfId="410"/>
    <cellStyle name="Normal 2 2 10 3" xfId="411"/>
    <cellStyle name="Normal 2 2 10 3 2" xfId="412"/>
    <cellStyle name="Normal 2 2 10 4" xfId="413"/>
    <cellStyle name="Normal 2 2 10 4 2" xfId="414"/>
    <cellStyle name="Normal 2 2 10_4x200 V" xfId="415"/>
    <cellStyle name="Normal 2 2 11" xfId="416"/>
    <cellStyle name="Normal 2 2 12" xfId="417"/>
    <cellStyle name="Normal 2 2 13" xfId="418"/>
    <cellStyle name="Normal 2 2 2" xfId="419"/>
    <cellStyle name="Normal 2 2 2 2" xfId="420"/>
    <cellStyle name="Normal 2 2 2 2 2" xfId="421"/>
    <cellStyle name="Normal 2 2 2 2 3" xfId="422"/>
    <cellStyle name="Normal 2 2 2 2 4" xfId="423"/>
    <cellStyle name="Normal 2 2 2 2 5" xfId="424"/>
    <cellStyle name="Normal 2 2 2 2 5 2" xfId="425"/>
    <cellStyle name="Normal 2 2 2 2 5 3" xfId="426"/>
    <cellStyle name="Normal 2 2 2 2 5_4x200 V" xfId="427"/>
    <cellStyle name="Normal 2 2 2 2_4x200 V" xfId="428"/>
    <cellStyle name="Normal 2 2 2 3" xfId="429"/>
    <cellStyle name="Normal 2 2 2 4" xfId="430"/>
    <cellStyle name="Normal 2 2 2 4 2" xfId="431"/>
    <cellStyle name="Normal 2 2 2 4 3" xfId="432"/>
    <cellStyle name="Normal 2 2 2 4 4" xfId="433"/>
    <cellStyle name="Normal 2 2 2 4 5" xfId="434"/>
    <cellStyle name="Normal 2 2 2 4_4x200 M" xfId="435"/>
    <cellStyle name="Normal 2 2 2 5" xfId="436"/>
    <cellStyle name="Normal 2 2 2 5 2" xfId="437"/>
    <cellStyle name="Normal 2 2 2 6" xfId="438"/>
    <cellStyle name="Normal 2 2 2 6 2" xfId="439"/>
    <cellStyle name="Normal 2 2 2_4x200 V" xfId="440"/>
    <cellStyle name="Normal 2 2 3" xfId="441"/>
    <cellStyle name="Normal 2 2 3 10" xfId="442"/>
    <cellStyle name="Normal 2 2 3 10 2" xfId="443"/>
    <cellStyle name="Normal 2 2 3 11" xfId="444"/>
    <cellStyle name="Normal 2 2 3 2" xfId="445"/>
    <cellStyle name="Normal 2 2 3 2 10" xfId="446"/>
    <cellStyle name="Normal 2 2 3 2 2" xfId="447"/>
    <cellStyle name="Normal 2 2 3 2 2 10" xfId="448"/>
    <cellStyle name="Normal 2 2 3 2 2 2" xfId="449"/>
    <cellStyle name="Normal 2 2 3 2 2 2 2" xfId="450"/>
    <cellStyle name="Normal 2 2 3 2 2 2 2 2" xfId="451"/>
    <cellStyle name="Normal 2 2 3 2 2 2 3" xfId="452"/>
    <cellStyle name="Normal 2 2 3 2 2 2 3 2" xfId="453"/>
    <cellStyle name="Normal 2 2 3 2 2 2 4" xfId="454"/>
    <cellStyle name="Normal 2 2 3 2 2 2 4 2" xfId="455"/>
    <cellStyle name="Normal 2 2 3 2 2 2 5" xfId="456"/>
    <cellStyle name="Normal 2 2 3 2 2 2_4x200 M" xfId="457"/>
    <cellStyle name="Normal 2 2 3 2 2 3" xfId="458"/>
    <cellStyle name="Normal 2 2 3 2 2 3 2" xfId="459"/>
    <cellStyle name="Normal 2 2 3 2 2 3 2 2" xfId="460"/>
    <cellStyle name="Normal 2 2 3 2 2 3 3" xfId="461"/>
    <cellStyle name="Normal 2 2 3 2 2 3 3 2" xfId="462"/>
    <cellStyle name="Normal 2 2 3 2 2 3 4" xfId="463"/>
    <cellStyle name="Normal 2 2 3 2 2 3 4 2" xfId="464"/>
    <cellStyle name="Normal 2 2 3 2 2 3 5" xfId="465"/>
    <cellStyle name="Normal 2 2 3 2 2 3_4x200 M" xfId="466"/>
    <cellStyle name="Normal 2 2 3 2 2 4" xfId="467"/>
    <cellStyle name="Normal 2 2 3 2 2 4 2" xfId="468"/>
    <cellStyle name="Normal 2 2 3 2 2 4 2 2" xfId="469"/>
    <cellStyle name="Normal 2 2 3 2 2 4 3" xfId="470"/>
    <cellStyle name="Normal 2 2 3 2 2 4 3 2" xfId="471"/>
    <cellStyle name="Normal 2 2 3 2 2 4 4" xfId="472"/>
    <cellStyle name="Normal 2 2 3 2 2 4 4 2" xfId="473"/>
    <cellStyle name="Normal 2 2 3 2 2 4 5" xfId="474"/>
    <cellStyle name="Normal 2 2 3 2 2 4_4x200 M" xfId="475"/>
    <cellStyle name="Normal 2 2 3 2 2 5" xfId="476"/>
    <cellStyle name="Normal 2 2 3 2 2 5 2" xfId="477"/>
    <cellStyle name="Normal 2 2 3 2 2 5 2 2" xfId="478"/>
    <cellStyle name="Normal 2 2 3 2 2 5 3" xfId="479"/>
    <cellStyle name="Normal 2 2 3 2 2 5 3 2" xfId="480"/>
    <cellStyle name="Normal 2 2 3 2 2 5 4" xfId="481"/>
    <cellStyle name="Normal 2 2 3 2 2 5 4 2" xfId="482"/>
    <cellStyle name="Normal 2 2 3 2 2 5 5" xfId="483"/>
    <cellStyle name="Normal 2 2 3 2 2 5_4x200 M" xfId="484"/>
    <cellStyle name="Normal 2 2 3 2 2 6" xfId="485"/>
    <cellStyle name="Normal 2 2 3 2 2 6 2" xfId="486"/>
    <cellStyle name="Normal 2 2 3 2 2 7" xfId="487"/>
    <cellStyle name="Normal 2 2 3 2 2 7 2" xfId="488"/>
    <cellStyle name="Normal 2 2 3 2 2 8" xfId="489"/>
    <cellStyle name="Normal 2 2 3 2 2 8 2" xfId="490"/>
    <cellStyle name="Normal 2 2 3 2 2 9" xfId="491"/>
    <cellStyle name="Normal 2 2 3 2 2_4x200 M" xfId="492"/>
    <cellStyle name="Normal 2 2 3 2 3" xfId="493"/>
    <cellStyle name="Normal 2 2 3 2 3 2" xfId="494"/>
    <cellStyle name="Normal 2 2 3 2 4" xfId="495"/>
    <cellStyle name="Normal 2 2 3 2 4 2" xfId="496"/>
    <cellStyle name="Normal 2 2 3 2 5" xfId="497"/>
    <cellStyle name="Normal 2 2 3 2 5 2" xfId="498"/>
    <cellStyle name="Normal 2 2 3 2 6" xfId="499"/>
    <cellStyle name="Normal 2 2 3 2 7" xfId="500"/>
    <cellStyle name="Normal 2 2 3 2 8" xfId="501"/>
    <cellStyle name="Normal 2 2 3 2 9" xfId="502"/>
    <cellStyle name="Normal 2 2 3 2_4x200 M" xfId="503"/>
    <cellStyle name="Normal 2 2 3 3" xfId="504"/>
    <cellStyle name="Normal 2 2 3 3 10" xfId="505"/>
    <cellStyle name="Normal 2 2 3 3 2" xfId="506"/>
    <cellStyle name="Normal 2 2 3 3 2 2" xfId="507"/>
    <cellStyle name="Normal 2 2 3 3 2 2 2" xfId="508"/>
    <cellStyle name="Normal 2 2 3 3 2 3" xfId="509"/>
    <cellStyle name="Normal 2 2 3 3 2 3 2" xfId="510"/>
    <cellStyle name="Normal 2 2 3 3 2 4" xfId="511"/>
    <cellStyle name="Normal 2 2 3 3 2 4 2" xfId="512"/>
    <cellStyle name="Normal 2 2 3 3 2 5" xfId="513"/>
    <cellStyle name="Normal 2 2 3 3 2_4x200 M" xfId="514"/>
    <cellStyle name="Normal 2 2 3 3 3" xfId="515"/>
    <cellStyle name="Normal 2 2 3 3 3 2" xfId="516"/>
    <cellStyle name="Normal 2 2 3 3 3 2 2" xfId="517"/>
    <cellStyle name="Normal 2 2 3 3 3 3" xfId="518"/>
    <cellStyle name="Normal 2 2 3 3 3 3 2" xfId="519"/>
    <cellStyle name="Normal 2 2 3 3 3 4" xfId="520"/>
    <cellStyle name="Normal 2 2 3 3 3 4 2" xfId="521"/>
    <cellStyle name="Normal 2 2 3 3 3 5" xfId="522"/>
    <cellStyle name="Normal 2 2 3 3 3_4x200 M" xfId="523"/>
    <cellStyle name="Normal 2 2 3 3 4" xfId="524"/>
    <cellStyle name="Normal 2 2 3 3 4 2" xfId="525"/>
    <cellStyle name="Normal 2 2 3 3 5" xfId="526"/>
    <cellStyle name="Normal 2 2 3 3 5 2" xfId="527"/>
    <cellStyle name="Normal 2 2 3 3 6" xfId="528"/>
    <cellStyle name="Normal 2 2 3 3 6 2" xfId="529"/>
    <cellStyle name="Normal 2 2 3 3 7" xfId="530"/>
    <cellStyle name="Normal 2 2 3 3 7 2" xfId="531"/>
    <cellStyle name="Normal 2 2 3 3 8" xfId="532"/>
    <cellStyle name="Normal 2 2 3 3 9" xfId="533"/>
    <cellStyle name="Normal 2 2 3 3_4x200 M" xfId="534"/>
    <cellStyle name="Normal 2 2 3 4" xfId="535"/>
    <cellStyle name="Normal 2 2 3 4 2" xfId="536"/>
    <cellStyle name="Normal 2 2 3 4 2 10" xfId="537"/>
    <cellStyle name="Normal 2 2 3 4 2 2" xfId="538"/>
    <cellStyle name="Normal 2 2 3 4 2 2 2" xfId="539"/>
    <cellStyle name="Normal 2 2 3 4 2 2 2 2" xfId="540"/>
    <cellStyle name="Normal 2 2 3 4 2 2 3" xfId="541"/>
    <cellStyle name="Normal 2 2 3 4 2 2 3 2" xfId="542"/>
    <cellStyle name="Normal 2 2 3 4 2 2 4" xfId="543"/>
    <cellStyle name="Normal 2 2 3 4 2 2 4 2" xfId="544"/>
    <cellStyle name="Normal 2 2 3 4 2 2 5" xfId="545"/>
    <cellStyle name="Normal 2 2 3 4 2 2_4x200 M" xfId="546"/>
    <cellStyle name="Normal 2 2 3 4 2 3" xfId="547"/>
    <cellStyle name="Normal 2 2 3 4 2 3 2" xfId="548"/>
    <cellStyle name="Normal 2 2 3 4 2 3 2 2" xfId="549"/>
    <cellStyle name="Normal 2 2 3 4 2 3 3" xfId="550"/>
    <cellStyle name="Normal 2 2 3 4 2 3 3 2" xfId="551"/>
    <cellStyle name="Normal 2 2 3 4 2 3 4" xfId="552"/>
    <cellStyle name="Normal 2 2 3 4 2 3 4 2" xfId="553"/>
    <cellStyle name="Normal 2 2 3 4 2 3 5" xfId="554"/>
    <cellStyle name="Normal 2 2 3 4 2 3_4x200 M" xfId="555"/>
    <cellStyle name="Normal 2 2 3 4 2 4" xfId="556"/>
    <cellStyle name="Normal 2 2 3 4 2 4 2" xfId="557"/>
    <cellStyle name="Normal 2 2 3 4 2 5" xfId="558"/>
    <cellStyle name="Normal 2 2 3 4 2 5 2" xfId="559"/>
    <cellStyle name="Normal 2 2 3 4 2 6" xfId="560"/>
    <cellStyle name="Normal 2 2 3 4 2 6 2" xfId="561"/>
    <cellStyle name="Normal 2 2 3 4 2 7" xfId="562"/>
    <cellStyle name="Normal 2 2 3 4 2 8" xfId="563"/>
    <cellStyle name="Normal 2 2 3 4 2 9" xfId="564"/>
    <cellStyle name="Normal 2 2 3 4 2_4x200 M" xfId="565"/>
    <cellStyle name="Normal 2 2 3 4 3" xfId="566"/>
    <cellStyle name="Normal 2 2 3 4 3 2" xfId="567"/>
    <cellStyle name="Normal 2 2 3 4 4" xfId="568"/>
    <cellStyle name="Normal 2 2 3 4 4 2" xfId="569"/>
    <cellStyle name="Normal 2 2 3 4 5" xfId="570"/>
    <cellStyle name="Normal 2 2 3 4 5 2" xfId="571"/>
    <cellStyle name="Normal 2 2 3 4 6" xfId="572"/>
    <cellStyle name="Normal 2 2 3 4_4x200 M" xfId="573"/>
    <cellStyle name="Normal 2 2 3 5" xfId="574"/>
    <cellStyle name="Normal 2 2 3 5 10" xfId="575"/>
    <cellStyle name="Normal 2 2 3 5 2" xfId="576"/>
    <cellStyle name="Normal 2 2 3 5 2 2" xfId="577"/>
    <cellStyle name="Normal 2 2 3 5 2 2 2" xfId="578"/>
    <cellStyle name="Normal 2 2 3 5 2 3" xfId="579"/>
    <cellStyle name="Normal 2 2 3 5 2 3 2" xfId="580"/>
    <cellStyle name="Normal 2 2 3 5 2 4" xfId="581"/>
    <cellStyle name="Normal 2 2 3 5 2 4 2" xfId="582"/>
    <cellStyle name="Normal 2 2 3 5 2 5" xfId="583"/>
    <cellStyle name="Normal 2 2 3 5 2_4x200 M" xfId="584"/>
    <cellStyle name="Normal 2 2 3 5 3" xfId="585"/>
    <cellStyle name="Normal 2 2 3 5 3 2" xfId="586"/>
    <cellStyle name="Normal 2 2 3 5 3 2 2" xfId="587"/>
    <cellStyle name="Normal 2 2 3 5 3 3" xfId="588"/>
    <cellStyle name="Normal 2 2 3 5 3 3 2" xfId="589"/>
    <cellStyle name="Normal 2 2 3 5 3 4" xfId="590"/>
    <cellStyle name="Normal 2 2 3 5 3 4 2" xfId="591"/>
    <cellStyle name="Normal 2 2 3 5 3 5" xfId="592"/>
    <cellStyle name="Normal 2 2 3 5 3_4x200 M" xfId="593"/>
    <cellStyle name="Normal 2 2 3 5 4" xfId="594"/>
    <cellStyle name="Normal 2 2 3 5 4 2" xfId="595"/>
    <cellStyle name="Normal 2 2 3 5 4 2 2" xfId="596"/>
    <cellStyle name="Normal 2 2 3 5 4 3" xfId="597"/>
    <cellStyle name="Normal 2 2 3 5 4 3 2" xfId="598"/>
    <cellStyle name="Normal 2 2 3 5 4 4" xfId="599"/>
    <cellStyle name="Normal 2 2 3 5 4 4 2" xfId="600"/>
    <cellStyle name="Normal 2 2 3 5 4 5" xfId="601"/>
    <cellStyle name="Normal 2 2 3 5 4_4x200 M" xfId="602"/>
    <cellStyle name="Normal 2 2 3 5 5" xfId="603"/>
    <cellStyle name="Normal 2 2 3 5 5 2" xfId="604"/>
    <cellStyle name="Normal 2 2 3 5 5 2 2" xfId="605"/>
    <cellStyle name="Normal 2 2 3 5 5 3" xfId="606"/>
    <cellStyle name="Normal 2 2 3 5 5 3 2" xfId="607"/>
    <cellStyle name="Normal 2 2 3 5 5 4" xfId="608"/>
    <cellStyle name="Normal 2 2 3 5 5 4 2" xfId="609"/>
    <cellStyle name="Normal 2 2 3 5 5 5" xfId="610"/>
    <cellStyle name="Normal 2 2 3 5 5_4x200 M" xfId="611"/>
    <cellStyle name="Normal 2 2 3 5 6" xfId="612"/>
    <cellStyle name="Normal 2 2 3 5 6 2" xfId="613"/>
    <cellStyle name="Normal 2 2 3 5 7" xfId="614"/>
    <cellStyle name="Normal 2 2 3 5 7 2" xfId="615"/>
    <cellStyle name="Normal 2 2 3 5 8" xfId="616"/>
    <cellStyle name="Normal 2 2 3 5 8 2" xfId="617"/>
    <cellStyle name="Normal 2 2 3 5 9" xfId="618"/>
    <cellStyle name="Normal 2 2 3 5_4x200 M" xfId="619"/>
    <cellStyle name="Normal 2 2 3 6" xfId="620"/>
    <cellStyle name="Normal 2 2 3 6 10" xfId="621"/>
    <cellStyle name="Normal 2 2 3 6 10 2" xfId="622"/>
    <cellStyle name="Normal 2 2 3 6 11" xfId="623"/>
    <cellStyle name="Normal 2 2 3 6 11 2" xfId="624"/>
    <cellStyle name="Normal 2 2 3 6 12" xfId="625"/>
    <cellStyle name="Normal 2 2 3 6 12 2" xfId="626"/>
    <cellStyle name="Normal 2 2 3 6 13" xfId="627"/>
    <cellStyle name="Normal 2 2 3 6 2" xfId="628"/>
    <cellStyle name="Normal 2 2 3 6 2 2" xfId="629"/>
    <cellStyle name="Normal 2 2 3 6 2 2 2" xfId="630"/>
    <cellStyle name="Normal 2 2 3 6 2 3" xfId="631"/>
    <cellStyle name="Normal 2 2 3 6 2_4x200 M" xfId="632"/>
    <cellStyle name="Normal 2 2 3 6 3" xfId="633"/>
    <cellStyle name="Normal 2 2 3 6 3 2" xfId="634"/>
    <cellStyle name="Normal 2 2 3 6 3 2 2" xfId="635"/>
    <cellStyle name="Normal 2 2 3 6 3 3" xfId="636"/>
    <cellStyle name="Normal 2 2 3 6 3_4x200 M" xfId="637"/>
    <cellStyle name="Normal 2 2 3 6 4" xfId="638"/>
    <cellStyle name="Normal 2 2 3 6 4 2" xfId="639"/>
    <cellStyle name="Normal 2 2 3 6 5" xfId="640"/>
    <cellStyle name="Normal 2 2 3 6 5 2" xfId="641"/>
    <cellStyle name="Normal 2 2 3 6 6" xfId="642"/>
    <cellStyle name="Normal 2 2 3 6 6 2" xfId="643"/>
    <cellStyle name="Normal 2 2 3 6 7" xfId="644"/>
    <cellStyle name="Normal 2 2 3 6 7 2" xfId="645"/>
    <cellStyle name="Normal 2 2 3 6 8" xfId="646"/>
    <cellStyle name="Normal 2 2 3 6 8 2" xfId="647"/>
    <cellStyle name="Normal 2 2 3 6 9" xfId="648"/>
    <cellStyle name="Normal 2 2 3 6 9 2" xfId="649"/>
    <cellStyle name="Normal 2 2 3 6_4x200 M" xfId="650"/>
    <cellStyle name="Normal 2 2 3 7" xfId="651"/>
    <cellStyle name="Normal 2 2 3 7 2" xfId="652"/>
    <cellStyle name="Normal 2 2 3 8" xfId="653"/>
    <cellStyle name="Normal 2 2 3 8 2" xfId="654"/>
    <cellStyle name="Normal 2 2 3 9" xfId="655"/>
    <cellStyle name="Normal 2 2 3 9 2" xfId="656"/>
    <cellStyle name="Normal 2 2 3_4x200 M" xfId="657"/>
    <cellStyle name="Normal 2 2 4" xfId="658"/>
    <cellStyle name="Normal 2 2 4 2" xfId="659"/>
    <cellStyle name="Normal 2 2 4 2 2" xfId="660"/>
    <cellStyle name="Normal 2 2 4 2 2 2" xfId="661"/>
    <cellStyle name="Normal 2 2 4 2 3" xfId="662"/>
    <cellStyle name="Normal 2 2 4 2 3 2" xfId="663"/>
    <cellStyle name="Normal 2 2 4 2 4" xfId="664"/>
    <cellStyle name="Normal 2 2 4 2 4 2" xfId="665"/>
    <cellStyle name="Normal 2 2 4 2 5" xfId="666"/>
    <cellStyle name="Normal 2 2 4 2_4x200 M" xfId="667"/>
    <cellStyle name="Normal 2 2 4 3" xfId="668"/>
    <cellStyle name="Normal 2 2 4 3 2" xfId="669"/>
    <cellStyle name="Normal 2 2 4 4" xfId="670"/>
    <cellStyle name="Normal 2 2 4 4 2" xfId="671"/>
    <cellStyle name="Normal 2 2 4 5" xfId="672"/>
    <cellStyle name="Normal 2 2 4 5 2" xfId="673"/>
    <cellStyle name="Normal 2 2 4 6" xfId="674"/>
    <cellStyle name="Normal 2 2 4_4x200 M" xfId="675"/>
    <cellStyle name="Normal 2 2 5" xfId="676"/>
    <cellStyle name="Normal 2 2 5 2" xfId="677"/>
    <cellStyle name="Normal 2 2 5 2 10" xfId="678"/>
    <cellStyle name="Normal 2 2 5 2 2" xfId="679"/>
    <cellStyle name="Normal 2 2 5 2 2 2" xfId="680"/>
    <cellStyle name="Normal 2 2 5 2 2 2 2" xfId="681"/>
    <cellStyle name="Normal 2 2 5 2 2 3" xfId="682"/>
    <cellStyle name="Normal 2 2 5 2 2 3 2" xfId="683"/>
    <cellStyle name="Normal 2 2 5 2 2 4" xfId="684"/>
    <cellStyle name="Normal 2 2 5 2 2 4 2" xfId="685"/>
    <cellStyle name="Normal 2 2 5 2 2 5" xfId="686"/>
    <cellStyle name="Normal 2 2 5 2 2_4x200 M" xfId="687"/>
    <cellStyle name="Normal 2 2 5 2 3" xfId="688"/>
    <cellStyle name="Normal 2 2 5 2 3 2" xfId="689"/>
    <cellStyle name="Normal 2 2 5 2 3 2 2" xfId="690"/>
    <cellStyle name="Normal 2 2 5 2 3 3" xfId="691"/>
    <cellStyle name="Normal 2 2 5 2 3 3 2" xfId="692"/>
    <cellStyle name="Normal 2 2 5 2 3 4" xfId="693"/>
    <cellStyle name="Normal 2 2 5 2 3 4 2" xfId="694"/>
    <cellStyle name="Normal 2 2 5 2 3 5" xfId="695"/>
    <cellStyle name="Normal 2 2 5 2 3_4x200 M" xfId="696"/>
    <cellStyle name="Normal 2 2 5 2 4" xfId="697"/>
    <cellStyle name="Normal 2 2 5 2 4 2" xfId="698"/>
    <cellStyle name="Normal 2 2 5 2 5" xfId="699"/>
    <cellStyle name="Normal 2 2 5 2 5 2" xfId="700"/>
    <cellStyle name="Normal 2 2 5 2 6" xfId="701"/>
    <cellStyle name="Normal 2 2 5 2 6 2" xfId="702"/>
    <cellStyle name="Normal 2 2 5 2 7" xfId="703"/>
    <cellStyle name="Normal 2 2 5 2 8" xfId="704"/>
    <cellStyle name="Normal 2 2 5 2 9" xfId="705"/>
    <cellStyle name="Normal 2 2 5 2_4x200 M" xfId="706"/>
    <cellStyle name="Normal 2 2 5 3" xfId="707"/>
    <cellStyle name="Normal 2 2 5 3 2" xfId="708"/>
    <cellStyle name="Normal 2 2 5 4" xfId="709"/>
    <cellStyle name="Normal 2 2 5 4 2" xfId="710"/>
    <cellStyle name="Normal 2 2 5 5" xfId="711"/>
    <cellStyle name="Normal 2 2 5 5 2" xfId="712"/>
    <cellStyle name="Normal 2 2 5 6" xfId="713"/>
    <cellStyle name="Normal 2 2 5_4x200 M" xfId="714"/>
    <cellStyle name="Normal 2 2 6" xfId="715"/>
    <cellStyle name="Normal 2 2 6 2" xfId="716"/>
    <cellStyle name="Normal 2 2 6 2 2" xfId="717"/>
    <cellStyle name="Normal 2 2 6 3" xfId="718"/>
    <cellStyle name="Normal 2 2 6 3 2" xfId="719"/>
    <cellStyle name="Normal 2 2 6 4" xfId="720"/>
    <cellStyle name="Normal 2 2 6 4 2" xfId="721"/>
    <cellStyle name="Normal 2 2 6 5" xfId="722"/>
    <cellStyle name="Normal 2 2 6_4x200 M" xfId="723"/>
    <cellStyle name="Normal 2 2 7" xfId="724"/>
    <cellStyle name="Normal 2 2 7 2" xfId="725"/>
    <cellStyle name="Normal 2 2 7 2 2" xfId="726"/>
    <cellStyle name="Normal 2 2 7 3" xfId="727"/>
    <cellStyle name="Normal 2 2 7 3 2" xfId="728"/>
    <cellStyle name="Normal 2 2 7 4" xfId="729"/>
    <cellStyle name="Normal 2 2 7 4 2" xfId="730"/>
    <cellStyle name="Normal 2 2 7 5" xfId="731"/>
    <cellStyle name="Normal 2 2 7_4x200 M" xfId="732"/>
    <cellStyle name="Normal 2 2 8" xfId="733"/>
    <cellStyle name="Normal 2 2 8 2" xfId="734"/>
    <cellStyle name="Normal 2 2 8 2 2" xfId="735"/>
    <cellStyle name="Normal 2 2 8 3" xfId="736"/>
    <cellStyle name="Normal 2 2 8 3 2" xfId="737"/>
    <cellStyle name="Normal 2 2 8 4" xfId="738"/>
    <cellStyle name="Normal 2 2 8 4 2" xfId="739"/>
    <cellStyle name="Normal 2 2 8 5" xfId="740"/>
    <cellStyle name="Normal 2 2 8_4x200 M" xfId="741"/>
    <cellStyle name="Normal 2 2 9" xfId="742"/>
    <cellStyle name="Normal 2 2 9 2" xfId="743"/>
    <cellStyle name="Normal 2 2_4x200 M" xfId="744"/>
    <cellStyle name="Normal 2 3" xfId="745"/>
    <cellStyle name="Normal 2 4" xfId="746"/>
    <cellStyle name="Normal 2 4 2" xfId="747"/>
    <cellStyle name="Normal 2 4 3" xfId="748"/>
    <cellStyle name="Normal 2 4 3 2" xfId="749"/>
    <cellStyle name="Normal 2 4 3 3" xfId="750"/>
    <cellStyle name="Normal 2 4 3 4" xfId="751"/>
    <cellStyle name="Normal 2 4 3_4x200 V" xfId="752"/>
    <cellStyle name="Normal 2 4_4x200 V" xfId="753"/>
    <cellStyle name="Normal 2 5" xfId="754"/>
    <cellStyle name="Normal 2 6" xfId="755"/>
    <cellStyle name="Normal 2 7" xfId="756"/>
    <cellStyle name="Normal 2 7 2" xfId="757"/>
    <cellStyle name="Normal 2 7 3" xfId="758"/>
    <cellStyle name="Normal 2 7 4" xfId="759"/>
    <cellStyle name="Normal 2 7_DALYVIAI" xfId="760"/>
    <cellStyle name="Normal 2 8" xfId="761"/>
    <cellStyle name="Normal 2 9" xfId="762"/>
    <cellStyle name="Normal 2_4x200 V" xfId="763"/>
    <cellStyle name="Normal 20" xfId="764"/>
    <cellStyle name="Normal 20 2" xfId="765"/>
    <cellStyle name="Normal 20 2 2" xfId="766"/>
    <cellStyle name="Normal 20 2 2 2" xfId="767"/>
    <cellStyle name="Normal 20 2 2 3" xfId="768"/>
    <cellStyle name="Normal 20 2 2 4" xfId="769"/>
    <cellStyle name="Normal 20 2 2 5" xfId="770"/>
    <cellStyle name="Normal 20 2 2_4x200 M" xfId="771"/>
    <cellStyle name="Normal 20 2 3" xfId="772"/>
    <cellStyle name="Normal 20 2 4" xfId="773"/>
    <cellStyle name="Normal 20 2 4 2" xfId="774"/>
    <cellStyle name="Normal 20 2 5" xfId="775"/>
    <cellStyle name="Normal 20 2 5 2" xfId="776"/>
    <cellStyle name="Normal 20 2_DALYVIAI" xfId="777"/>
    <cellStyle name="Normal 20 3" xfId="778"/>
    <cellStyle name="Normal 20 3 2" xfId="779"/>
    <cellStyle name="Normal 20 3 2 2" xfId="780"/>
    <cellStyle name="Normal 20 3 3" xfId="781"/>
    <cellStyle name="Normal 20 3 3 2" xfId="782"/>
    <cellStyle name="Normal 20 3 4" xfId="783"/>
    <cellStyle name="Normal 20 3 4 2" xfId="784"/>
    <cellStyle name="Normal 20 3_DALYVIAI" xfId="785"/>
    <cellStyle name="Normal 20 4" xfId="786"/>
    <cellStyle name="Normal 20 5" xfId="787"/>
    <cellStyle name="Normal 20 6" xfId="788"/>
    <cellStyle name="Normal 20_4x200 M" xfId="789"/>
    <cellStyle name="Normal 21" xfId="790"/>
    <cellStyle name="Normal 21 2" xfId="791"/>
    <cellStyle name="Normal 21 2 2" xfId="792"/>
    <cellStyle name="Normal 21 2 2 2" xfId="793"/>
    <cellStyle name="Normal 21 2 2 3" xfId="794"/>
    <cellStyle name="Normal 21 2 2 4" xfId="795"/>
    <cellStyle name="Normal 21 2 2_4x200 V" xfId="796"/>
    <cellStyle name="Normal 21 2 3" xfId="797"/>
    <cellStyle name="Normal 21 2 4" xfId="798"/>
    <cellStyle name="Normal 21 2 5" xfId="799"/>
    <cellStyle name="Normal 21 2_DALYVIAI" xfId="800"/>
    <cellStyle name="Normal 21 3" xfId="801"/>
    <cellStyle name="Normal 21 3 2" xfId="802"/>
    <cellStyle name="Normal 21 3 3" xfId="803"/>
    <cellStyle name="Normal 21 3 4" xfId="804"/>
    <cellStyle name="Normal 21 3_DALYVIAI" xfId="805"/>
    <cellStyle name="Normal 21 4" xfId="806"/>
    <cellStyle name="Normal 21 5" xfId="807"/>
    <cellStyle name="Normal 21_4x200 V" xfId="808"/>
    <cellStyle name="Normal 22" xfId="809"/>
    <cellStyle name="Normal 22 2" xfId="810"/>
    <cellStyle name="Normal 22 2 2" xfId="811"/>
    <cellStyle name="Normal 22 2 2 2" xfId="812"/>
    <cellStyle name="Normal 22 2 2 3" xfId="813"/>
    <cellStyle name="Normal 22 2 2 4" xfId="814"/>
    <cellStyle name="Normal 22 2 2 5" xfId="815"/>
    <cellStyle name="Normal 22 2 2_4x200 M" xfId="816"/>
    <cellStyle name="Normal 22 2 3" xfId="817"/>
    <cellStyle name="Normal 22 2 4" xfId="818"/>
    <cellStyle name="Normal 22 2 4 2" xfId="819"/>
    <cellStyle name="Normal 22 2 5" xfId="820"/>
    <cellStyle name="Normal 22 2 5 2" xfId="821"/>
    <cellStyle name="Normal 22 2_DALYVIAI" xfId="822"/>
    <cellStyle name="Normal 22 3" xfId="823"/>
    <cellStyle name="Normal 22 3 2" xfId="824"/>
    <cellStyle name="Normal 22 3 2 2" xfId="825"/>
    <cellStyle name="Normal 22 3 3" xfId="826"/>
    <cellStyle name="Normal 22 3 3 2" xfId="827"/>
    <cellStyle name="Normal 22 3 4" xfId="828"/>
    <cellStyle name="Normal 22 3 4 2" xfId="829"/>
    <cellStyle name="Normal 22 3_DALYVIAI" xfId="830"/>
    <cellStyle name="Normal 22 4" xfId="831"/>
    <cellStyle name="Normal 22 5" xfId="832"/>
    <cellStyle name="Normal 22 6" xfId="833"/>
    <cellStyle name="Normal 22_4x200 M" xfId="834"/>
    <cellStyle name="Normal 23" xfId="835"/>
    <cellStyle name="Normal 23 2" xfId="836"/>
    <cellStyle name="Normal 23 3" xfId="837"/>
    <cellStyle name="Normal 24" xfId="838"/>
    <cellStyle name="Normal 24 2" xfId="839"/>
    <cellStyle name="Normal 24 3" xfId="840"/>
    <cellStyle name="Normal 24 4" xfId="841"/>
    <cellStyle name="Normal 24 5" xfId="842"/>
    <cellStyle name="Normal 24_DALYVIAI" xfId="843"/>
    <cellStyle name="Normal 25" xfId="844"/>
    <cellStyle name="Normal 25 2" xfId="845"/>
    <cellStyle name="Normal 25 2 2" xfId="846"/>
    <cellStyle name="Normal 25 3" xfId="847"/>
    <cellStyle name="Normal 25 3 2" xfId="848"/>
    <cellStyle name="Normal 25 4" xfId="849"/>
    <cellStyle name="Normal 25_4x200 M" xfId="850"/>
    <cellStyle name="Normal 26" xfId="851"/>
    <cellStyle name="Normal 26 2" xfId="852"/>
    <cellStyle name="Normal 26 3" xfId="853"/>
    <cellStyle name="Normal 26 4" xfId="854"/>
    <cellStyle name="Normal 26_DALYVIAI" xfId="855"/>
    <cellStyle name="Normal 27" xfId="856"/>
    <cellStyle name="Normal 28" xfId="857"/>
    <cellStyle name="Normal 29" xfId="858"/>
    <cellStyle name="Normal 3" xfId="859"/>
    <cellStyle name="Normal 3 10" xfId="860"/>
    <cellStyle name="Normal 3 11" xfId="861"/>
    <cellStyle name="Normal 3 12" xfId="862"/>
    <cellStyle name="Normal 3 12 2" xfId="863"/>
    <cellStyle name="Normal 3 12 3" xfId="864"/>
    <cellStyle name="Normal 3 12 4" xfId="865"/>
    <cellStyle name="Normal 3 12_DALYVIAI" xfId="866"/>
    <cellStyle name="Normal 3 13" xfId="867"/>
    <cellStyle name="Normal 3 14" xfId="868"/>
    <cellStyle name="Normal 3 2" xfId="869"/>
    <cellStyle name="Normal 3 3" xfId="870"/>
    <cellStyle name="Normal 3 3 2" xfId="871"/>
    <cellStyle name="Normal 3 3 3" xfId="872"/>
    <cellStyle name="Normal 3 3_4x200 V" xfId="873"/>
    <cellStyle name="Normal 3 4" xfId="874"/>
    <cellStyle name="Normal 3 4 2" xfId="875"/>
    <cellStyle name="Normal 3 4 3" xfId="876"/>
    <cellStyle name="Normal 3 4_4x200 V" xfId="877"/>
    <cellStyle name="Normal 3 5" xfId="878"/>
    <cellStyle name="Normal 3 5 2" xfId="879"/>
    <cellStyle name="Normal 3 5_4x200 V" xfId="880"/>
    <cellStyle name="Normal 3 6" xfId="881"/>
    <cellStyle name="Normal 3 7" xfId="882"/>
    <cellStyle name="Normal 3 8" xfId="883"/>
    <cellStyle name="Normal 3 8 2" xfId="884"/>
    <cellStyle name="Normal 3 8_4x200 V" xfId="885"/>
    <cellStyle name="Normal 3 9" xfId="886"/>
    <cellStyle name="Normal 3 9 2" xfId="887"/>
    <cellStyle name="Normal 3 9_4x200 V" xfId="888"/>
    <cellStyle name="Normal 3_1500 V" xfId="889"/>
    <cellStyle name="Normal 30" xfId="890"/>
    <cellStyle name="Normal 31" xfId="891"/>
    <cellStyle name="Normal 32" xfId="892"/>
    <cellStyle name="Normal 4" xfId="893"/>
    <cellStyle name="Normal 4 10" xfId="894"/>
    <cellStyle name="Normal 4 11" xfId="895"/>
    <cellStyle name="Normal 4 11 2" xfId="896"/>
    <cellStyle name="Normal 4 11 2 2" xfId="897"/>
    <cellStyle name="Normal 4 11 3" xfId="898"/>
    <cellStyle name="Normal 4 11 3 2" xfId="899"/>
    <cellStyle name="Normal 4 11 4" xfId="900"/>
    <cellStyle name="Normal 4 11 4 2" xfId="901"/>
    <cellStyle name="Normal 4 11_DALYVIAI" xfId="902"/>
    <cellStyle name="Normal 4 12" xfId="903"/>
    <cellStyle name="Normal 4 13" xfId="904"/>
    <cellStyle name="Normal 4 14" xfId="905"/>
    <cellStyle name="Normal 4 2" xfId="906"/>
    <cellStyle name="Normal 4 2 10" xfId="907"/>
    <cellStyle name="Normal 4 2 2" xfId="908"/>
    <cellStyle name="Normal 4 2 2 2" xfId="909"/>
    <cellStyle name="Normal 4 2 2 2 2" xfId="910"/>
    <cellStyle name="Normal 4 2 2 3" xfId="911"/>
    <cellStyle name="Normal 4 2 2 3 2" xfId="912"/>
    <cellStyle name="Normal 4 2 2 4" xfId="913"/>
    <cellStyle name="Normal 4 2 2 4 2" xfId="914"/>
    <cellStyle name="Normal 4 2 2 5" xfId="915"/>
    <cellStyle name="Normal 4 2 2_4x200 M" xfId="916"/>
    <cellStyle name="Normal 4 2 3" xfId="917"/>
    <cellStyle name="Normal 4 2 3 2" xfId="918"/>
    <cellStyle name="Normal 4 2 3 2 2" xfId="919"/>
    <cellStyle name="Normal 4 2 3 3" xfId="920"/>
    <cellStyle name="Normal 4 2 3 3 2" xfId="921"/>
    <cellStyle name="Normal 4 2 3 4" xfId="922"/>
    <cellStyle name="Normal 4 2 3 4 2" xfId="923"/>
    <cellStyle name="Normal 4 2 3 5" xfId="924"/>
    <cellStyle name="Normal 4 2 3_4x200 M" xfId="925"/>
    <cellStyle name="Normal 4 2 4" xfId="926"/>
    <cellStyle name="Normal 4 2 4 2" xfId="927"/>
    <cellStyle name="Normal 4 2 5" xfId="928"/>
    <cellStyle name="Normal 4 2 5 2" xfId="929"/>
    <cellStyle name="Normal 4 2 6" xfId="930"/>
    <cellStyle name="Normal 4 2 6 2" xfId="931"/>
    <cellStyle name="Normal 4 2 7" xfId="932"/>
    <cellStyle name="Normal 4 2 8" xfId="933"/>
    <cellStyle name="Normal 4 2 9" xfId="934"/>
    <cellStyle name="Normal 4 2_4x200 M" xfId="935"/>
    <cellStyle name="Normal 4 3" xfId="936"/>
    <cellStyle name="Normal 4 3 2" xfId="937"/>
    <cellStyle name="Normal 4 3 2 2" xfId="938"/>
    <cellStyle name="Normal 4 3 3" xfId="939"/>
    <cellStyle name="Normal 4 3 3 2" xfId="940"/>
    <cellStyle name="Normal 4 3 4" xfId="941"/>
    <cellStyle name="Normal 4 3 4 2" xfId="942"/>
    <cellStyle name="Normal 4 3 5" xfId="943"/>
    <cellStyle name="Normal 4 3_4x200 M" xfId="944"/>
    <cellStyle name="Normal 4 4" xfId="945"/>
    <cellStyle name="Normal 4 4 2" xfId="946"/>
    <cellStyle name="Normal 4 4 2 2" xfId="947"/>
    <cellStyle name="Normal 4 4 3" xfId="948"/>
    <cellStyle name="Normal 4 4 3 2" xfId="949"/>
    <cellStyle name="Normal 4 4 4" xfId="950"/>
    <cellStyle name="Normal 4 4 4 2" xfId="951"/>
    <cellStyle name="Normal 4 4 5" xfId="952"/>
    <cellStyle name="Normal 4 4_4x200 M" xfId="953"/>
    <cellStyle name="Normal 4 5" xfId="954"/>
    <cellStyle name="Normal 4 5 2" xfId="955"/>
    <cellStyle name="Normal 4 5 2 2" xfId="956"/>
    <cellStyle name="Normal 4 5 3" xfId="957"/>
    <cellStyle name="Normal 4 5 3 2" xfId="958"/>
    <cellStyle name="Normal 4 5 4" xfId="959"/>
    <cellStyle name="Normal 4 5 4 2" xfId="960"/>
    <cellStyle name="Normal 4 5 5" xfId="961"/>
    <cellStyle name="Normal 4 5_4x200 M" xfId="962"/>
    <cellStyle name="Normal 4 6" xfId="963"/>
    <cellStyle name="Normal 4 6 2" xfId="964"/>
    <cellStyle name="Normal 4 6 2 2" xfId="965"/>
    <cellStyle name="Normal 4 6 3" xfId="966"/>
    <cellStyle name="Normal 4 6 3 2" xfId="967"/>
    <cellStyle name="Normal 4 6 4" xfId="968"/>
    <cellStyle name="Normal 4 6 4 2" xfId="969"/>
    <cellStyle name="Normal 4 6 5" xfId="970"/>
    <cellStyle name="Normal 4 6_4x200 M" xfId="971"/>
    <cellStyle name="Normal 4 7" xfId="972"/>
    <cellStyle name="Normal 4 7 2" xfId="973"/>
    <cellStyle name="Normal 4 7 2 2" xfId="974"/>
    <cellStyle name="Normal 4 7 3" xfId="975"/>
    <cellStyle name="Normal 4 7 3 2" xfId="976"/>
    <cellStyle name="Normal 4 7 4" xfId="977"/>
    <cellStyle name="Normal 4 7 4 2" xfId="978"/>
    <cellStyle name="Normal 4 7 5" xfId="979"/>
    <cellStyle name="Normal 4 7_4x200 M" xfId="980"/>
    <cellStyle name="Normal 4 8" xfId="981"/>
    <cellStyle name="Normal 4 8 2" xfId="982"/>
    <cellStyle name="Normal 4 8 2 2" xfId="983"/>
    <cellStyle name="Normal 4 8 3" xfId="984"/>
    <cellStyle name="Normal 4 8 3 2" xfId="985"/>
    <cellStyle name="Normal 4 8 4" xfId="986"/>
    <cellStyle name="Normal 4 8 4 2" xfId="987"/>
    <cellStyle name="Normal 4 8 5" xfId="988"/>
    <cellStyle name="Normal 4 8_4x200 M" xfId="989"/>
    <cellStyle name="Normal 4 9" xfId="990"/>
    <cellStyle name="Normal 4 9 10" xfId="991"/>
    <cellStyle name="Normal 4 9 2" xfId="992"/>
    <cellStyle name="Normal 4 9 2 2" xfId="993"/>
    <cellStyle name="Normal 4 9 2 2 2" xfId="994"/>
    <cellStyle name="Normal 4 9 2 3" xfId="995"/>
    <cellStyle name="Normal 4 9 2 3 2" xfId="996"/>
    <cellStyle name="Normal 4 9 2 4" xfId="997"/>
    <cellStyle name="Normal 4 9 2 4 2" xfId="998"/>
    <cellStyle name="Normal 4 9 2 5" xfId="999"/>
    <cellStyle name="Normal 4 9 2_4x200 M" xfId="1000"/>
    <cellStyle name="Normal 4 9 3" xfId="1001"/>
    <cellStyle name="Normal 4 9 3 2" xfId="1002"/>
    <cellStyle name="Normal 4 9 3 2 2" xfId="1003"/>
    <cellStyle name="Normal 4 9 3 3" xfId="1004"/>
    <cellStyle name="Normal 4 9 3 3 2" xfId="1005"/>
    <cellStyle name="Normal 4 9 3 4" xfId="1006"/>
    <cellStyle name="Normal 4 9 3 4 2" xfId="1007"/>
    <cellStyle name="Normal 4 9 3 5" xfId="1008"/>
    <cellStyle name="Normal 4 9 3_4x200 M" xfId="1009"/>
    <cellStyle name="Normal 4 9 4" xfId="1010"/>
    <cellStyle name="Normal 4 9 4 2" xfId="1011"/>
    <cellStyle name="Normal 4 9 4 2 2" xfId="1012"/>
    <cellStyle name="Normal 4 9 4 3" xfId="1013"/>
    <cellStyle name="Normal 4 9 4 3 2" xfId="1014"/>
    <cellStyle name="Normal 4 9 4 4" xfId="1015"/>
    <cellStyle name="Normal 4 9 4 4 2" xfId="1016"/>
    <cellStyle name="Normal 4 9 4 5" xfId="1017"/>
    <cellStyle name="Normal 4 9 4_4x200 M" xfId="1018"/>
    <cellStyle name="Normal 4 9 5" xfId="1019"/>
    <cellStyle name="Normal 4 9 5 2" xfId="1020"/>
    <cellStyle name="Normal 4 9 5 2 2" xfId="1021"/>
    <cellStyle name="Normal 4 9 5 3" xfId="1022"/>
    <cellStyle name="Normal 4 9 5 3 2" xfId="1023"/>
    <cellStyle name="Normal 4 9 5 4" xfId="1024"/>
    <cellStyle name="Normal 4 9 5 4 2" xfId="1025"/>
    <cellStyle name="Normal 4 9 5 5" xfId="1026"/>
    <cellStyle name="Normal 4 9 5_4x200 M" xfId="1027"/>
    <cellStyle name="Normal 4 9 6" xfId="1028"/>
    <cellStyle name="Normal 4 9 6 2" xfId="1029"/>
    <cellStyle name="Normal 4 9 6 2 2" xfId="1030"/>
    <cellStyle name="Normal 4 9 6 3" xfId="1031"/>
    <cellStyle name="Normal 4 9 6 3 2" xfId="1032"/>
    <cellStyle name="Normal 4 9 6 4" xfId="1033"/>
    <cellStyle name="Normal 4 9 6 4 2" xfId="1034"/>
    <cellStyle name="Normal 4 9 6 5" xfId="1035"/>
    <cellStyle name="Normal 4 9 6_4x200 M" xfId="1036"/>
    <cellStyle name="Normal 4 9 7" xfId="1037"/>
    <cellStyle name="Normal 4 9 7 2" xfId="1038"/>
    <cellStyle name="Normal 4 9 8" xfId="1039"/>
    <cellStyle name="Normal 4 9 8 2" xfId="1040"/>
    <cellStyle name="Normal 4 9 9" xfId="1041"/>
    <cellStyle name="Normal 4 9 9 2" xfId="1042"/>
    <cellStyle name="Normal 4 9_4x200 M" xfId="1043"/>
    <cellStyle name="Normal 4_4x200 M" xfId="1044"/>
    <cellStyle name="Normal 5" xfId="1045"/>
    <cellStyle name="Normal 5 2" xfId="1046"/>
    <cellStyle name="Normal 5 2 2" xfId="1047"/>
    <cellStyle name="Normal 5 2 2 2" xfId="1048"/>
    <cellStyle name="Normal 5 2 2 3" xfId="1049"/>
    <cellStyle name="Normal 5 2 2 4" xfId="1050"/>
    <cellStyle name="Normal 5 2 2 5" xfId="1051"/>
    <cellStyle name="Normal 5 2 2_4x200 M" xfId="1052"/>
    <cellStyle name="Normal 5 2 3" xfId="1053"/>
    <cellStyle name="Normal 5 2 4" xfId="1054"/>
    <cellStyle name="Normal 5 2 4 2" xfId="1055"/>
    <cellStyle name="Normal 5 2 5" xfId="1056"/>
    <cellStyle name="Normal 5 2 5 2" xfId="1057"/>
    <cellStyle name="Normal 5 2_DALYVIAI" xfId="1058"/>
    <cellStyle name="Normal 5 3" xfId="1059"/>
    <cellStyle name="Normal 5 3 2" xfId="1060"/>
    <cellStyle name="Normal 5 3 2 2" xfId="1061"/>
    <cellStyle name="Normal 5 3 3" xfId="1062"/>
    <cellStyle name="Normal 5 3 3 2" xfId="1063"/>
    <cellStyle name="Normal 5 3 4" xfId="1064"/>
    <cellStyle name="Normal 5 3 4 2" xfId="1065"/>
    <cellStyle name="Normal 5 3_DALYVIAI" xfId="1066"/>
    <cellStyle name="Normal 5 4" xfId="1067"/>
    <cellStyle name="Normal 5 5" xfId="1068"/>
    <cellStyle name="Normal 5 6" xfId="1069"/>
    <cellStyle name="Normal 5_4x200 M" xfId="1070"/>
    <cellStyle name="Normal 6" xfId="1071"/>
    <cellStyle name="Normal 6 2" xfId="1072"/>
    <cellStyle name="Normal 6 2 2" xfId="1073"/>
    <cellStyle name="Normal 6 2 2 2" xfId="1074"/>
    <cellStyle name="Normal 6 2 3" xfId="1075"/>
    <cellStyle name="Normal 6 2 3 2" xfId="1076"/>
    <cellStyle name="Normal 6 2 4" xfId="1077"/>
    <cellStyle name="Normal 6 2 4 2" xfId="1078"/>
    <cellStyle name="Normal 6 2 5" xfId="1079"/>
    <cellStyle name="Normal 6 2_4x200 M" xfId="1080"/>
    <cellStyle name="Normal 6 3" xfId="1081"/>
    <cellStyle name="Normal 6 3 2" xfId="1082"/>
    <cellStyle name="Normal 6 3 2 2" xfId="1083"/>
    <cellStyle name="Normal 6 3 3" xfId="1084"/>
    <cellStyle name="Normal 6 3 3 2" xfId="1085"/>
    <cellStyle name="Normal 6 3 4" xfId="1086"/>
    <cellStyle name="Normal 6 3 4 2" xfId="1087"/>
    <cellStyle name="Normal 6 3 5" xfId="1088"/>
    <cellStyle name="Normal 6 3_4x200 M" xfId="1089"/>
    <cellStyle name="Normal 6 4" xfId="1090"/>
    <cellStyle name="Normal 6 4 2" xfId="1091"/>
    <cellStyle name="Normal 6 4 2 2" xfId="1092"/>
    <cellStyle name="Normal 6 4 3" xfId="1093"/>
    <cellStyle name="Normal 6 4 3 2" xfId="1094"/>
    <cellStyle name="Normal 6 4 4" xfId="1095"/>
    <cellStyle name="Normal 6 4 4 2" xfId="1096"/>
    <cellStyle name="Normal 6 4 5" xfId="1097"/>
    <cellStyle name="Normal 6 4_4x200 M" xfId="1098"/>
    <cellStyle name="Normal 6 5" xfId="1099"/>
    <cellStyle name="Normal 6 6" xfId="1100"/>
    <cellStyle name="Normal 6 6 2" xfId="1101"/>
    <cellStyle name="Normal 6 6 2 2" xfId="1102"/>
    <cellStyle name="Normal 6 6 3" xfId="1103"/>
    <cellStyle name="Normal 6 6 3 2" xfId="1104"/>
    <cellStyle name="Normal 6 6 4" xfId="1105"/>
    <cellStyle name="Normal 6 6 4 2" xfId="1106"/>
    <cellStyle name="Normal 6 6_DALYVIAI" xfId="1107"/>
    <cellStyle name="Normal 6 7" xfId="1108"/>
    <cellStyle name="Normal 6 8" xfId="1109"/>
    <cellStyle name="Normal 6 9" xfId="1110"/>
    <cellStyle name="Normal 6_4x200 M" xfId="1111"/>
    <cellStyle name="Normal 7" xfId="1112"/>
    <cellStyle name="Normal 7 2" xfId="1113"/>
    <cellStyle name="Normal 7 2 2" xfId="1114"/>
    <cellStyle name="Normal 7 2 2 2" xfId="1115"/>
    <cellStyle name="Normal 7 2 2 2 2" xfId="1116"/>
    <cellStyle name="Normal 7 2 2 3" xfId="1117"/>
    <cellStyle name="Normal 7 2 2 3 2" xfId="1118"/>
    <cellStyle name="Normal 7 2 2 4" xfId="1119"/>
    <cellStyle name="Normal 7 2 2 4 2" xfId="1120"/>
    <cellStyle name="Normal 7 2 2_DALYVIAI" xfId="1121"/>
    <cellStyle name="Normal 7 2 3" xfId="1122"/>
    <cellStyle name="Normal 7 2 3 2" xfId="1123"/>
    <cellStyle name="Normal 7 2 4" xfId="1124"/>
    <cellStyle name="Normal 7 2 5" xfId="1125"/>
    <cellStyle name="Normal 7 2 6" xfId="1126"/>
    <cellStyle name="Normal 7 2_4x200 M" xfId="1127"/>
    <cellStyle name="Normal 7 3" xfId="1128"/>
    <cellStyle name="Normal 7 4" xfId="1129"/>
    <cellStyle name="Normal 7 5" xfId="1130"/>
    <cellStyle name="Normal 7 6" xfId="1131"/>
    <cellStyle name="Normal 7_DALYVIAI" xfId="1132"/>
    <cellStyle name="Normal 8" xfId="1133"/>
    <cellStyle name="Normal 8 2" xfId="1134"/>
    <cellStyle name="Normal 8 2 2" xfId="1135"/>
    <cellStyle name="Normal 8 2 2 2" xfId="1136"/>
    <cellStyle name="Normal 8 2 2 2 2" xfId="1137"/>
    <cellStyle name="Normal 8 2 2 3" xfId="1138"/>
    <cellStyle name="Normal 8 2 2 3 2" xfId="1139"/>
    <cellStyle name="Normal 8 2 2 4" xfId="1140"/>
    <cellStyle name="Normal 8 2 2 4 2" xfId="1141"/>
    <cellStyle name="Normal 8 2 2 5" xfId="1142"/>
    <cellStyle name="Normal 8 2 2_4x200 M" xfId="1143"/>
    <cellStyle name="Normal 8 2 3" xfId="1144"/>
    <cellStyle name="Normal 8 2 3 2" xfId="1145"/>
    <cellStyle name="Normal 8 2 4" xfId="1146"/>
    <cellStyle name="Normal 8 2 4 2" xfId="1147"/>
    <cellStyle name="Normal 8 2 5" xfId="1148"/>
    <cellStyle name="Normal 8 2 5 2" xfId="1149"/>
    <cellStyle name="Normal 8 2 6" xfId="1150"/>
    <cellStyle name="Normal 8 2_4x200 M" xfId="1151"/>
    <cellStyle name="Normal 8 3" xfId="1152"/>
    <cellStyle name="Normal 8 4" xfId="1153"/>
    <cellStyle name="Normal 8 4 2" xfId="1154"/>
    <cellStyle name="Normal 8 4 2 2" xfId="1155"/>
    <cellStyle name="Normal 8 4 3" xfId="1156"/>
    <cellStyle name="Normal 8 4 3 2" xfId="1157"/>
    <cellStyle name="Normal 8 4 4" xfId="1158"/>
    <cellStyle name="Normal 8 4 4 2" xfId="1159"/>
    <cellStyle name="Normal 8 4_DALYVIAI" xfId="1160"/>
    <cellStyle name="Normal 8 5" xfId="1161"/>
    <cellStyle name="Normal 8 6" xfId="1162"/>
    <cellStyle name="Normal 8 7" xfId="1163"/>
    <cellStyle name="Normal 8_4x200 M" xfId="1164"/>
    <cellStyle name="Normal 9" xfId="1165"/>
    <cellStyle name="Normal 9 10" xfId="1166"/>
    <cellStyle name="Normal 9 2" xfId="1167"/>
    <cellStyle name="Normal 9 2 2" xfId="1168"/>
    <cellStyle name="Normal 9 2 2 2" xfId="1169"/>
    <cellStyle name="Normal 9 2 3" xfId="1170"/>
    <cellStyle name="Normal 9 2 3 2" xfId="1171"/>
    <cellStyle name="Normal 9 2 4" xfId="1172"/>
    <cellStyle name="Normal 9 2 4 2" xfId="1173"/>
    <cellStyle name="Normal 9 2 5" xfId="1174"/>
    <cellStyle name="Normal 9 2_4x200 M" xfId="1175"/>
    <cellStyle name="Normal 9 3" xfId="1176"/>
    <cellStyle name="Normal 9 3 2" xfId="1177"/>
    <cellStyle name="Normal 9 3 2 2" xfId="1178"/>
    <cellStyle name="Normal 9 3 2 2 2" xfId="1179"/>
    <cellStyle name="Normal 9 3 2 3" xfId="1180"/>
    <cellStyle name="Normal 9 3 2 3 2" xfId="1181"/>
    <cellStyle name="Normal 9 3 2 4" xfId="1182"/>
    <cellStyle name="Normal 9 3 2 4 2" xfId="1183"/>
    <cellStyle name="Normal 9 3 2 5" xfId="1184"/>
    <cellStyle name="Normal 9 3 2_4x200 M" xfId="1185"/>
    <cellStyle name="Normal 9 3 3" xfId="1186"/>
    <cellStyle name="Normal 9 3 3 2" xfId="1187"/>
    <cellStyle name="Normal 9 3 4" xfId="1188"/>
    <cellStyle name="Normal 9 3 4 2" xfId="1189"/>
    <cellStyle name="Normal 9 3 5" xfId="1190"/>
    <cellStyle name="Normal 9 3 5 2" xfId="1191"/>
    <cellStyle name="Normal 9 3 6" xfId="1192"/>
    <cellStyle name="Normal 9 3_4x200 M" xfId="1193"/>
    <cellStyle name="Normal 9 4" xfId="1194"/>
    <cellStyle name="Normal 9 4 2" xfId="1195"/>
    <cellStyle name="Normal 9 4 2 2" xfId="1196"/>
    <cellStyle name="Normal 9 4 3" xfId="1197"/>
    <cellStyle name="Normal 9 4 3 2" xfId="1198"/>
    <cellStyle name="Normal 9 4 4" xfId="1199"/>
    <cellStyle name="Normal 9 4 4 2" xfId="1200"/>
    <cellStyle name="Normal 9 4 5" xfId="1201"/>
    <cellStyle name="Normal 9 4_4x200 M" xfId="1202"/>
    <cellStyle name="Normal 9 5" xfId="1203"/>
    <cellStyle name="Normal 9 5 2" xfId="1204"/>
    <cellStyle name="Normal 9 5 2 2" xfId="1205"/>
    <cellStyle name="Normal 9 5 3" xfId="1206"/>
    <cellStyle name="Normal 9 5 3 2" xfId="1207"/>
    <cellStyle name="Normal 9 5 4" xfId="1208"/>
    <cellStyle name="Normal 9 5 4 2" xfId="1209"/>
    <cellStyle name="Normal 9 5 5" xfId="1210"/>
    <cellStyle name="Normal 9 5_4x200 M" xfId="1211"/>
    <cellStyle name="Normal 9 6" xfId="1212"/>
    <cellStyle name="Normal 9 7" xfId="1213"/>
    <cellStyle name="Normal 9 7 2" xfId="1214"/>
    <cellStyle name="Normal 9 7 2 2" xfId="1215"/>
    <cellStyle name="Normal 9 7 3" xfId="1216"/>
    <cellStyle name="Normal 9 7 3 2" xfId="1217"/>
    <cellStyle name="Normal 9 7 4" xfId="1218"/>
    <cellStyle name="Normal 9 7 4 2" xfId="1219"/>
    <cellStyle name="Normal 9 7_DALYVIAI" xfId="1220"/>
    <cellStyle name="Normal 9 8" xfId="1221"/>
    <cellStyle name="Normal 9 9" xfId="1222"/>
    <cellStyle name="Normal 9_4x200 M" xfId="1223"/>
    <cellStyle name="Normal_2013-01-15 2" xfId="1224"/>
    <cellStyle name="Normal_60 M1" xfId="1225"/>
    <cellStyle name="Normal_kategorijos(1)" xfId="1226"/>
    <cellStyle name="Note 2" xfId="1227"/>
    <cellStyle name="Output 2" xfId="1228"/>
    <cellStyle name="Paprastas 2" xfId="1229"/>
    <cellStyle name="Paprastas_Lapas1" xfId="1230"/>
    <cellStyle name="Pavadinimas" xfId="1231"/>
    <cellStyle name="Percent [0]" xfId="1232"/>
    <cellStyle name="Percent [00]" xfId="1233"/>
    <cellStyle name="Percent [2]" xfId="1234"/>
    <cellStyle name="PrePop Currency (0)" xfId="1235"/>
    <cellStyle name="PrePop Currency (2)" xfId="1236"/>
    <cellStyle name="PrePop Units (0)" xfId="1237"/>
    <cellStyle name="PrePop Units (1)" xfId="1238"/>
    <cellStyle name="PrePop Units (2)" xfId="1239"/>
    <cellStyle name="Suma" xfId="1240"/>
    <cellStyle name="Text Indent A" xfId="1241"/>
    <cellStyle name="Text Indent B" xfId="1242"/>
    <cellStyle name="Text Indent C" xfId="1243"/>
    <cellStyle name="Title 2" xfId="1244"/>
    <cellStyle name="Total 2" xfId="1245"/>
    <cellStyle name="Walutowy [0]_PLDT" xfId="1246"/>
    <cellStyle name="Walutowy_PLDT" xfId="1247"/>
    <cellStyle name="Warning Text 2" xfId="1248"/>
    <cellStyle name="Обычный_Итоговый спартакиады 1991-92 г" xfId="12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27</xdr:row>
      <xdr:rowOff>123825</xdr:rowOff>
    </xdr:from>
    <xdr:to>
      <xdr:col>5</xdr:col>
      <xdr:colOff>190500</xdr:colOff>
      <xdr:row>31</xdr:row>
      <xdr:rowOff>66675</xdr:rowOff>
    </xdr:to>
    <xdr:pic>
      <xdr:nvPicPr>
        <xdr:cNvPr id="2049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4791075"/>
          <a:ext cx="8001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476250</xdr:colOff>
      <xdr:row>3</xdr:row>
      <xdr:rowOff>161925</xdr:rowOff>
    </xdr:to>
    <xdr:pic>
      <xdr:nvPicPr>
        <xdr:cNvPr id="11265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476250</xdr:colOff>
      <xdr:row>3</xdr:row>
      <xdr:rowOff>161925</xdr:rowOff>
    </xdr:to>
    <xdr:pic>
      <xdr:nvPicPr>
        <xdr:cNvPr id="12289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476250</xdr:colOff>
      <xdr:row>3</xdr:row>
      <xdr:rowOff>161925</xdr:rowOff>
    </xdr:to>
    <xdr:pic>
      <xdr:nvPicPr>
        <xdr:cNvPr id="13313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476250</xdr:colOff>
      <xdr:row>3</xdr:row>
      <xdr:rowOff>161925</xdr:rowOff>
    </xdr:to>
    <xdr:pic>
      <xdr:nvPicPr>
        <xdr:cNvPr id="14337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476250</xdr:colOff>
      <xdr:row>3</xdr:row>
      <xdr:rowOff>161925</xdr:rowOff>
    </xdr:to>
    <xdr:pic>
      <xdr:nvPicPr>
        <xdr:cNvPr id="15361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476250</xdr:colOff>
      <xdr:row>3</xdr:row>
      <xdr:rowOff>161925</xdr:rowOff>
    </xdr:to>
    <xdr:pic>
      <xdr:nvPicPr>
        <xdr:cNvPr id="16385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476250</xdr:colOff>
      <xdr:row>3</xdr:row>
      <xdr:rowOff>161925</xdr:rowOff>
    </xdr:to>
    <xdr:pic>
      <xdr:nvPicPr>
        <xdr:cNvPr id="17409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476250</xdr:colOff>
      <xdr:row>3</xdr:row>
      <xdr:rowOff>161925</xdr:rowOff>
    </xdr:to>
    <xdr:pic>
      <xdr:nvPicPr>
        <xdr:cNvPr id="18433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476250</xdr:colOff>
      <xdr:row>3</xdr:row>
      <xdr:rowOff>161925</xdr:rowOff>
    </xdr:to>
    <xdr:pic>
      <xdr:nvPicPr>
        <xdr:cNvPr id="19457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476250</xdr:colOff>
      <xdr:row>3</xdr:row>
      <xdr:rowOff>161925</xdr:rowOff>
    </xdr:to>
    <xdr:pic>
      <xdr:nvPicPr>
        <xdr:cNvPr id="20481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476250</xdr:colOff>
      <xdr:row>3</xdr:row>
      <xdr:rowOff>161925</xdr:rowOff>
    </xdr:to>
    <xdr:pic>
      <xdr:nvPicPr>
        <xdr:cNvPr id="3073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476250</xdr:colOff>
      <xdr:row>3</xdr:row>
      <xdr:rowOff>161925</xdr:rowOff>
    </xdr:to>
    <xdr:pic>
      <xdr:nvPicPr>
        <xdr:cNvPr id="21505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476250</xdr:colOff>
      <xdr:row>3</xdr:row>
      <xdr:rowOff>161925</xdr:rowOff>
    </xdr:to>
    <xdr:pic>
      <xdr:nvPicPr>
        <xdr:cNvPr id="22529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9425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628650</xdr:colOff>
      <xdr:row>10</xdr:row>
      <xdr:rowOff>219075</xdr:rowOff>
    </xdr:to>
    <xdr:sp macro="" textlink="">
      <xdr:nvSpPr>
        <xdr:cNvPr id="23553" name="AutoShape 2"/>
        <xdr:cNvSpPr>
          <a:spLocks noChangeAspect="1" noChangeArrowheads="1"/>
        </xdr:cNvSpPr>
      </xdr:nvSpPr>
      <xdr:spPr bwMode="auto">
        <a:xfrm>
          <a:off x="6334125" y="990600"/>
          <a:ext cx="6286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628650</xdr:colOff>
      <xdr:row>11</xdr:row>
      <xdr:rowOff>19050</xdr:rowOff>
    </xdr:to>
    <xdr:sp macro="" textlink="">
      <xdr:nvSpPr>
        <xdr:cNvPr id="23554" name="AutoShape 2"/>
        <xdr:cNvSpPr>
          <a:spLocks noChangeAspect="1" noChangeArrowheads="1"/>
        </xdr:cNvSpPr>
      </xdr:nvSpPr>
      <xdr:spPr bwMode="auto">
        <a:xfrm>
          <a:off x="6334125" y="990600"/>
          <a:ext cx="6286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476250</xdr:colOff>
      <xdr:row>3</xdr:row>
      <xdr:rowOff>161925</xdr:rowOff>
    </xdr:to>
    <xdr:pic>
      <xdr:nvPicPr>
        <xdr:cNvPr id="23555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5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476250</xdr:colOff>
      <xdr:row>3</xdr:row>
      <xdr:rowOff>161925</xdr:rowOff>
    </xdr:to>
    <xdr:pic>
      <xdr:nvPicPr>
        <xdr:cNvPr id="1025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171450</xdr:colOff>
      <xdr:row>2</xdr:row>
      <xdr:rowOff>0</xdr:rowOff>
    </xdr:to>
    <xdr:pic>
      <xdr:nvPicPr>
        <xdr:cNvPr id="24577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0"/>
          <a:ext cx="466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0</xdr:row>
      <xdr:rowOff>0</xdr:rowOff>
    </xdr:from>
    <xdr:to>
      <xdr:col>21</xdr:col>
      <xdr:colOff>38100</xdr:colOff>
      <xdr:row>1</xdr:row>
      <xdr:rowOff>123825</xdr:rowOff>
    </xdr:to>
    <xdr:pic>
      <xdr:nvPicPr>
        <xdr:cNvPr id="25601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5275" y="0"/>
          <a:ext cx="466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628650</xdr:colOff>
      <xdr:row>0</xdr:row>
      <xdr:rowOff>0</xdr:rowOff>
    </xdr:from>
    <xdr:to>
      <xdr:col>16</xdr:col>
      <xdr:colOff>1114425</xdr:colOff>
      <xdr:row>1</xdr:row>
      <xdr:rowOff>123825</xdr:rowOff>
    </xdr:to>
    <xdr:pic>
      <xdr:nvPicPr>
        <xdr:cNvPr id="26625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7650" y="0"/>
          <a:ext cx="485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476250</xdr:colOff>
      <xdr:row>1</xdr:row>
      <xdr:rowOff>123825</xdr:rowOff>
    </xdr:to>
    <xdr:pic>
      <xdr:nvPicPr>
        <xdr:cNvPr id="27649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0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476250</xdr:colOff>
      <xdr:row>1</xdr:row>
      <xdr:rowOff>123825</xdr:rowOff>
    </xdr:to>
    <xdr:pic>
      <xdr:nvPicPr>
        <xdr:cNvPr id="28673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58100" y="0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476250</xdr:colOff>
      <xdr:row>1</xdr:row>
      <xdr:rowOff>123825</xdr:rowOff>
    </xdr:to>
    <xdr:pic>
      <xdr:nvPicPr>
        <xdr:cNvPr id="29697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6700" y="0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476250</xdr:colOff>
      <xdr:row>3</xdr:row>
      <xdr:rowOff>161925</xdr:rowOff>
    </xdr:to>
    <xdr:pic>
      <xdr:nvPicPr>
        <xdr:cNvPr id="4097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0</xdr:rowOff>
    </xdr:from>
    <xdr:to>
      <xdr:col>16</xdr:col>
      <xdr:colOff>904875</xdr:colOff>
      <xdr:row>1</xdr:row>
      <xdr:rowOff>123825</xdr:rowOff>
    </xdr:to>
    <xdr:pic>
      <xdr:nvPicPr>
        <xdr:cNvPr id="30721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0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476250</xdr:colOff>
      <xdr:row>0</xdr:row>
      <xdr:rowOff>9525</xdr:rowOff>
    </xdr:from>
    <xdr:to>
      <xdr:col>16</xdr:col>
      <xdr:colOff>952500</xdr:colOff>
      <xdr:row>1</xdr:row>
      <xdr:rowOff>133350</xdr:rowOff>
    </xdr:to>
    <xdr:pic>
      <xdr:nvPicPr>
        <xdr:cNvPr id="31745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9525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52</xdr:row>
      <xdr:rowOff>0</xdr:rowOff>
    </xdr:from>
    <xdr:to>
      <xdr:col>12</xdr:col>
      <xdr:colOff>476250</xdr:colOff>
      <xdr:row>56</xdr:row>
      <xdr:rowOff>161925</xdr:rowOff>
    </xdr:to>
    <xdr:sp macro="" textlink="">
      <xdr:nvSpPr>
        <xdr:cNvPr id="5121" name="AutoShape 2"/>
        <xdr:cNvSpPr>
          <a:spLocks noChangeAspect="1" noChangeArrowheads="1"/>
        </xdr:cNvSpPr>
      </xdr:nvSpPr>
      <xdr:spPr bwMode="auto">
        <a:xfrm>
          <a:off x="6229350" y="8124825"/>
          <a:ext cx="476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476250</xdr:colOff>
      <xdr:row>56</xdr:row>
      <xdr:rowOff>66675</xdr:rowOff>
    </xdr:to>
    <xdr:sp macro="" textlink="">
      <xdr:nvSpPr>
        <xdr:cNvPr id="5122" name="AutoShape 2"/>
        <xdr:cNvSpPr>
          <a:spLocks noChangeAspect="1" noChangeArrowheads="1"/>
        </xdr:cNvSpPr>
      </xdr:nvSpPr>
      <xdr:spPr bwMode="auto">
        <a:xfrm>
          <a:off x="6229350" y="8124825"/>
          <a:ext cx="476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476250</xdr:colOff>
      <xdr:row>3</xdr:row>
      <xdr:rowOff>161925</xdr:rowOff>
    </xdr:to>
    <xdr:pic>
      <xdr:nvPicPr>
        <xdr:cNvPr id="5123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238125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30</xdr:row>
      <xdr:rowOff>0</xdr:rowOff>
    </xdr:from>
    <xdr:to>
      <xdr:col>12</xdr:col>
      <xdr:colOff>476250</xdr:colOff>
      <xdr:row>34</xdr:row>
      <xdr:rowOff>161925</xdr:rowOff>
    </xdr:to>
    <xdr:sp macro="" textlink="">
      <xdr:nvSpPr>
        <xdr:cNvPr id="6145" name="AutoShape 2"/>
        <xdr:cNvSpPr>
          <a:spLocks noChangeAspect="1" noChangeArrowheads="1"/>
        </xdr:cNvSpPr>
      </xdr:nvSpPr>
      <xdr:spPr bwMode="auto">
        <a:xfrm>
          <a:off x="6229350" y="5438775"/>
          <a:ext cx="476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476250</xdr:colOff>
      <xdr:row>34</xdr:row>
      <xdr:rowOff>66675</xdr:rowOff>
    </xdr:to>
    <xdr:sp macro="" textlink="">
      <xdr:nvSpPr>
        <xdr:cNvPr id="6146" name="AutoShape 2"/>
        <xdr:cNvSpPr>
          <a:spLocks noChangeAspect="1" noChangeArrowheads="1"/>
        </xdr:cNvSpPr>
      </xdr:nvSpPr>
      <xdr:spPr bwMode="auto">
        <a:xfrm>
          <a:off x="6229350" y="5438775"/>
          <a:ext cx="476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476250</xdr:colOff>
      <xdr:row>3</xdr:row>
      <xdr:rowOff>161925</xdr:rowOff>
    </xdr:to>
    <xdr:pic>
      <xdr:nvPicPr>
        <xdr:cNvPr id="6147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238125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476250</xdr:colOff>
      <xdr:row>3</xdr:row>
      <xdr:rowOff>161925</xdr:rowOff>
    </xdr:to>
    <xdr:pic>
      <xdr:nvPicPr>
        <xdr:cNvPr id="7169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476250</xdr:colOff>
      <xdr:row>3</xdr:row>
      <xdr:rowOff>161925</xdr:rowOff>
    </xdr:to>
    <xdr:pic>
      <xdr:nvPicPr>
        <xdr:cNvPr id="8193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60</xdr:row>
      <xdr:rowOff>0</xdr:rowOff>
    </xdr:from>
    <xdr:to>
      <xdr:col>15</xdr:col>
      <xdr:colOff>352425</xdr:colOff>
      <xdr:row>63</xdr:row>
      <xdr:rowOff>133350</xdr:rowOff>
    </xdr:to>
    <xdr:sp macro="" textlink="">
      <xdr:nvSpPr>
        <xdr:cNvPr id="9217" name="AutoShape 2"/>
        <xdr:cNvSpPr>
          <a:spLocks noChangeAspect="1" noChangeArrowheads="1"/>
        </xdr:cNvSpPr>
      </xdr:nvSpPr>
      <xdr:spPr bwMode="auto">
        <a:xfrm>
          <a:off x="7277100" y="9334500"/>
          <a:ext cx="3524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476250</xdr:colOff>
      <xdr:row>3</xdr:row>
      <xdr:rowOff>161925</xdr:rowOff>
    </xdr:to>
    <xdr:pic>
      <xdr:nvPicPr>
        <xdr:cNvPr id="9218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32</xdr:row>
      <xdr:rowOff>0</xdr:rowOff>
    </xdr:from>
    <xdr:to>
      <xdr:col>15</xdr:col>
      <xdr:colOff>352425</xdr:colOff>
      <xdr:row>35</xdr:row>
      <xdr:rowOff>133350</xdr:rowOff>
    </xdr:to>
    <xdr:sp macro="" textlink="">
      <xdr:nvSpPr>
        <xdr:cNvPr id="10241" name="AutoShape 2"/>
        <xdr:cNvSpPr>
          <a:spLocks noChangeAspect="1" noChangeArrowheads="1"/>
        </xdr:cNvSpPr>
      </xdr:nvSpPr>
      <xdr:spPr bwMode="auto">
        <a:xfrm>
          <a:off x="7277100" y="5905500"/>
          <a:ext cx="3524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476250</xdr:colOff>
      <xdr:row>3</xdr:row>
      <xdr:rowOff>161925</xdr:rowOff>
    </xdr:to>
    <xdr:pic>
      <xdr:nvPicPr>
        <xdr:cNvPr id="10242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238125"/>
          <a:ext cx="476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52"/>
  <sheetViews>
    <sheetView topLeftCell="A8" zoomScaleNormal="100" workbookViewId="0">
      <selection activeCell="A10" sqref="A10"/>
    </sheetView>
  </sheetViews>
  <sheetFormatPr defaultColWidth="8.85546875" defaultRowHeight="12.75"/>
  <cols>
    <col min="1" max="1" width="3" style="275" customWidth="1"/>
    <col min="2" max="2" width="0.5703125" style="275" customWidth="1"/>
    <col min="3" max="3" width="3.7109375" style="275" customWidth="1"/>
    <col min="4" max="41" width="5.7109375" style="275" customWidth="1"/>
    <col min="42" max="16384" width="8.85546875" style="275"/>
  </cols>
  <sheetData>
    <row r="1" spans="2:4">
      <c r="B1" s="274"/>
    </row>
    <row r="2" spans="2:4">
      <c r="B2" s="274"/>
    </row>
    <row r="3" spans="2:4" ht="8.1" customHeight="1">
      <c r="B3" s="274"/>
    </row>
    <row r="4" spans="2:4" ht="15.75">
      <c r="B4" s="274"/>
      <c r="D4" s="276"/>
    </row>
    <row r="5" spans="2:4">
      <c r="B5" s="274"/>
    </row>
    <row r="6" spans="2:4">
      <c r="B6" s="274"/>
    </row>
    <row r="7" spans="2:4">
      <c r="B7" s="274"/>
    </row>
    <row r="8" spans="2:4">
      <c r="B8" s="274"/>
    </row>
    <row r="9" spans="2:4">
      <c r="B9" s="274"/>
    </row>
    <row r="10" spans="2:4">
      <c r="B10" s="274"/>
    </row>
    <row r="11" spans="2:4">
      <c r="B11" s="274"/>
    </row>
    <row r="12" spans="2:4">
      <c r="B12" s="274"/>
    </row>
    <row r="13" spans="2:4">
      <c r="B13" s="274"/>
    </row>
    <row r="14" spans="2:4">
      <c r="B14" s="274"/>
    </row>
    <row r="15" spans="2:4">
      <c r="B15" s="274"/>
    </row>
    <row r="16" spans="2:4">
      <c r="B16" s="274"/>
    </row>
    <row r="17" spans="1:15" s="277" customFormat="1" ht="19.5">
      <c r="B17" s="278"/>
      <c r="D17" s="279" t="s">
        <v>485</v>
      </c>
    </row>
    <row r="18" spans="1:15" s="277" customFormat="1" ht="19.5">
      <c r="B18" s="278"/>
      <c r="D18" s="280"/>
    </row>
    <row r="19" spans="1:15" s="277" customFormat="1" ht="19.5">
      <c r="B19" s="278"/>
      <c r="D19" s="279" t="s">
        <v>486</v>
      </c>
    </row>
    <row r="20" spans="1:15" s="277" customFormat="1" ht="19.5">
      <c r="B20" s="278"/>
      <c r="D20" s="280"/>
    </row>
    <row r="21" spans="1:15" s="277" customFormat="1" ht="19.5">
      <c r="B21" s="278"/>
      <c r="D21" s="279" t="s">
        <v>487</v>
      </c>
    </row>
    <row r="22" spans="1:15" s="277" customFormat="1" ht="19.5">
      <c r="B22" s="278"/>
      <c r="D22" s="280"/>
    </row>
    <row r="23" spans="1:15" s="277" customFormat="1" ht="19.5">
      <c r="B23" s="278"/>
      <c r="D23" s="279"/>
    </row>
    <row r="24" spans="1:15" s="277" customFormat="1" ht="17.25" customHeight="1">
      <c r="B24" s="278"/>
      <c r="D24" s="281"/>
    </row>
    <row r="25" spans="1:15" s="277" customFormat="1" ht="5.0999999999999996" customHeight="1">
      <c r="B25" s="278"/>
    </row>
    <row r="26" spans="1:15" s="277" customFormat="1" ht="3" customHeight="1">
      <c r="A26" s="282"/>
      <c r="B26" s="283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</row>
    <row r="27" spans="1:15" s="277" customFormat="1" ht="5.0999999999999996" customHeight="1">
      <c r="B27" s="278"/>
    </row>
    <row r="28" spans="1:15" s="277" customFormat="1">
      <c r="B28" s="278"/>
    </row>
    <row r="29" spans="1:15" s="277" customFormat="1">
      <c r="B29" s="278"/>
    </row>
    <row r="30" spans="1:15" s="277" customFormat="1">
      <c r="B30" s="278"/>
    </row>
    <row r="31" spans="1:15" s="277" customFormat="1">
      <c r="B31" s="278"/>
    </row>
    <row r="32" spans="1:15" s="277" customFormat="1">
      <c r="B32" s="278"/>
    </row>
    <row r="33" spans="1:12" s="277" customFormat="1">
      <c r="B33" s="278"/>
    </row>
    <row r="34" spans="1:12" s="277" customFormat="1">
      <c r="B34" s="278"/>
    </row>
    <row r="35" spans="1:12" s="277" customFormat="1">
      <c r="B35" s="278"/>
    </row>
    <row r="36" spans="1:12" s="277" customFormat="1">
      <c r="B36" s="278"/>
    </row>
    <row r="37" spans="1:12" s="277" customFormat="1">
      <c r="B37" s="278"/>
    </row>
    <row r="38" spans="1:12" s="277" customFormat="1">
      <c r="B38" s="278"/>
    </row>
    <row r="39" spans="1:12" s="277" customFormat="1" ht="15.75">
      <c r="B39" s="278"/>
      <c r="D39" s="284" t="s">
        <v>488</v>
      </c>
    </row>
    <row r="40" spans="1:12" s="277" customFormat="1" ht="6.95" customHeight="1">
      <c r="A40" s="285"/>
      <c r="B40" s="286"/>
      <c r="C40" s="285"/>
      <c r="D40" s="285"/>
      <c r="E40" s="285"/>
      <c r="F40" s="285"/>
      <c r="G40" s="285"/>
      <c r="H40" s="285"/>
      <c r="I40" s="285"/>
    </row>
    <row r="41" spans="1:12" s="277" customFormat="1" ht="6.95" customHeight="1">
      <c r="B41" s="278"/>
    </row>
    <row r="42" spans="1:12" s="277" customFormat="1" ht="15.75">
      <c r="B42" s="278"/>
      <c r="D42" s="287" t="s">
        <v>489</v>
      </c>
    </row>
    <row r="43" spans="1:12" s="277" customFormat="1" ht="15.75">
      <c r="B43" s="278"/>
      <c r="D43" s="288" t="s">
        <v>494</v>
      </c>
    </row>
    <row r="44" spans="1:12" s="277" customFormat="1" ht="15.75">
      <c r="B44" s="278"/>
      <c r="D44" s="287"/>
    </row>
    <row r="45" spans="1:12" s="277" customFormat="1">
      <c r="B45" s="278"/>
    </row>
    <row r="46" spans="1:12" s="277" customFormat="1">
      <c r="B46" s="278"/>
      <c r="E46" s="277" t="s">
        <v>492</v>
      </c>
      <c r="L46" s="277" t="s">
        <v>493</v>
      </c>
    </row>
    <row r="47" spans="1:12" s="277" customFormat="1">
      <c r="B47" s="278"/>
    </row>
    <row r="48" spans="1:12" s="277" customFormat="1">
      <c r="B48" s="278"/>
      <c r="E48" s="277" t="s">
        <v>490</v>
      </c>
      <c r="L48" s="277" t="s">
        <v>491</v>
      </c>
    </row>
    <row r="49" spans="2:12" s="277" customFormat="1">
      <c r="B49" s="278"/>
    </row>
    <row r="50" spans="2:12" s="277" customFormat="1">
      <c r="B50" s="278"/>
      <c r="E50" s="277" t="s">
        <v>483</v>
      </c>
      <c r="L50" s="277" t="s">
        <v>484</v>
      </c>
    </row>
    <row r="51" spans="2:12" s="277" customFormat="1">
      <c r="B51" s="278"/>
    </row>
    <row r="52" spans="2:12" s="277" customFormat="1"/>
  </sheetData>
  <phoneticPr fontId="0" type="noConversion"/>
  <pageMargins left="1.181102362204724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FF"/>
  </sheetPr>
  <dimension ref="A1:IK10"/>
  <sheetViews>
    <sheetView zoomScaleNormal="100" workbookViewId="0">
      <selection activeCell="C29" sqref="C29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customWidth="1"/>
    <col min="9" max="9" width="4.140625" style="67" customWidth="1"/>
    <col min="10" max="10" width="5.140625" style="28" customWidth="1"/>
    <col min="11" max="11" width="24.5703125" style="23" customWidth="1"/>
    <col min="12" max="12" width="6.28515625" style="214" customWidth="1"/>
    <col min="13" max="13" width="5.42578125" style="192" customWidth="1"/>
    <col min="14" max="14" width="5.7109375" style="213" bestFit="1" customWidth="1"/>
    <col min="15" max="15" width="4.28515625" style="23" bestFit="1" customWidth="1"/>
    <col min="16" max="244" width="9.140625" style="23"/>
    <col min="245" max="16384" width="9.140625" style="70"/>
  </cols>
  <sheetData>
    <row r="1" spans="1:245" s="2" customFormat="1" ht="18.75">
      <c r="A1" s="1" t="s">
        <v>0</v>
      </c>
      <c r="E1" s="3"/>
      <c r="F1" s="4"/>
      <c r="G1" s="5"/>
      <c r="H1" s="179"/>
      <c r="I1" s="67"/>
      <c r="J1" s="3"/>
      <c r="L1" s="225"/>
      <c r="M1" s="192"/>
      <c r="N1" s="224"/>
      <c r="IK1" s="70"/>
    </row>
    <row r="2" spans="1:245" s="2" customFormat="1" ht="13.5" customHeight="1">
      <c r="E2" s="3"/>
      <c r="F2" s="4"/>
      <c r="G2" s="5"/>
      <c r="H2" s="179"/>
      <c r="I2" s="67"/>
      <c r="J2" s="3"/>
      <c r="K2" s="11" t="s">
        <v>1</v>
      </c>
      <c r="L2" s="225"/>
      <c r="M2" s="192"/>
      <c r="N2" s="224"/>
      <c r="IK2" s="70"/>
    </row>
    <row r="3" spans="1:245" s="12" customFormat="1" ht="4.5" customHeight="1">
      <c r="C3" s="13"/>
      <c r="E3" s="223">
        <v>1.1574074074074073E-5</v>
      </c>
      <c r="F3" s="15"/>
      <c r="G3" s="71"/>
      <c r="H3" s="181"/>
      <c r="I3" s="73"/>
      <c r="J3" s="74"/>
      <c r="K3" s="20"/>
      <c r="L3" s="214"/>
      <c r="M3" s="192"/>
      <c r="N3" s="96"/>
    </row>
    <row r="4" spans="1:245" ht="15.75">
      <c r="C4" s="24" t="s">
        <v>278</v>
      </c>
      <c r="E4" s="25"/>
      <c r="F4" s="26"/>
      <c r="K4" s="29" t="s">
        <v>3</v>
      </c>
    </row>
    <row r="5" spans="1:245" s="12" customFormat="1" ht="4.5" customHeight="1">
      <c r="C5" s="13"/>
      <c r="E5" s="14"/>
      <c r="F5" s="15"/>
      <c r="G5" s="71"/>
      <c r="H5" s="181"/>
      <c r="I5" s="73"/>
      <c r="J5" s="74"/>
      <c r="K5" s="20"/>
      <c r="L5" s="214"/>
      <c r="M5" s="192"/>
      <c r="N5" s="96"/>
    </row>
    <row r="6" spans="1:245" s="12" customFormat="1" ht="12.75" customHeight="1">
      <c r="C6" s="23"/>
      <c r="D6" s="33"/>
      <c r="E6" s="34"/>
      <c r="F6" s="35"/>
      <c r="G6" s="71"/>
      <c r="H6" s="181"/>
      <c r="I6" s="73"/>
      <c r="J6" s="74"/>
      <c r="K6" s="20"/>
      <c r="L6" s="214"/>
      <c r="M6" s="192"/>
      <c r="N6" s="96"/>
    </row>
    <row r="7" spans="1:245" s="12" customFormat="1" ht="6" customHeight="1">
      <c r="E7" s="36"/>
      <c r="F7" s="37"/>
      <c r="G7" s="71"/>
      <c r="H7" s="182"/>
      <c r="I7" s="73"/>
      <c r="J7" s="74"/>
      <c r="K7" s="20"/>
      <c r="L7" s="214"/>
      <c r="M7" s="192"/>
      <c r="N7" s="96"/>
    </row>
    <row r="8" spans="1:245" ht="11.25" customHeight="1">
      <c r="A8" s="39" t="s">
        <v>43</v>
      </c>
      <c r="B8" s="222" t="s">
        <v>6</v>
      </c>
      <c r="C8" s="221" t="s">
        <v>7</v>
      </c>
      <c r="D8" s="220" t="s">
        <v>8</v>
      </c>
      <c r="E8" s="219" t="s">
        <v>9</v>
      </c>
      <c r="F8" s="44" t="s">
        <v>10</v>
      </c>
      <c r="G8" s="45" t="s">
        <v>11</v>
      </c>
      <c r="H8" s="183" t="s">
        <v>12</v>
      </c>
      <c r="I8" s="82" t="s">
        <v>13</v>
      </c>
      <c r="J8" s="48" t="s">
        <v>15</v>
      </c>
      <c r="K8" s="39" t="s">
        <v>16</v>
      </c>
      <c r="M8" s="193"/>
      <c r="P8" s="12"/>
    </row>
    <row r="9" spans="1:245" s="92" customFormat="1" ht="16.350000000000001" customHeight="1">
      <c r="A9" s="51">
        <v>1</v>
      </c>
      <c r="B9" s="52">
        <v>148</v>
      </c>
      <c r="C9" s="53" t="s">
        <v>277</v>
      </c>
      <c r="D9" s="54" t="s">
        <v>276</v>
      </c>
      <c r="E9" s="55" t="s">
        <v>275</v>
      </c>
      <c r="F9" s="56" t="s">
        <v>48</v>
      </c>
      <c r="G9" s="218">
        <f>IF(ISBLANK(H9),"",TRUNC(0.3224*((H9/$E$3)-112)^2))</f>
        <v>714</v>
      </c>
      <c r="H9" s="217">
        <v>7.5127314814814816E-4</v>
      </c>
      <c r="I9" s="216"/>
      <c r="J9" s="215" t="str">
        <f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II A</v>
      </c>
      <c r="K9" s="61" t="s">
        <v>191</v>
      </c>
      <c r="L9" s="214"/>
      <c r="M9" s="193"/>
      <c r="N9" s="213"/>
      <c r="O9" s="23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</row>
    <row r="10" spans="1:245" s="92" customFormat="1" ht="16.350000000000001" customHeight="1">
      <c r="A10" s="51" t="s">
        <v>73</v>
      </c>
      <c r="B10" s="52">
        <v>81</v>
      </c>
      <c r="C10" s="53" t="s">
        <v>274</v>
      </c>
      <c r="D10" s="54" t="s">
        <v>273</v>
      </c>
      <c r="E10" s="55" t="s">
        <v>272</v>
      </c>
      <c r="F10" s="56" t="s">
        <v>80</v>
      </c>
      <c r="G10" s="218" t="s">
        <v>73</v>
      </c>
      <c r="H10" s="217">
        <v>7.1099537037037041E-4</v>
      </c>
      <c r="I10" s="216"/>
      <c r="J10" s="215" t="str">
        <f>IF(ISBLANK(H10),"",IF(H10&gt;0.00082337962962963,"",IF(H10&lt;=0.000616898148148148,"TSM",IF(H10&lt;=0.000638310185185185,"SM",IF(H10&lt;=0.000671296296296296,"KSM",IF(H10&lt;=0.000707175925925926,"I A",IF(H10&lt;=0.000753935185185185,"II A",IF(H10&lt;=0.00082337962962963,"III A"))))))))</f>
        <v>II A</v>
      </c>
      <c r="K10" s="61" t="s">
        <v>271</v>
      </c>
      <c r="L10" s="214"/>
      <c r="M10" s="193"/>
      <c r="N10" s="213"/>
      <c r="O10" s="23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CCFF"/>
  </sheetPr>
  <dimension ref="A1:ID36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customWidth="1"/>
    <col min="9" max="9" width="4.140625" style="67" hidden="1" customWidth="1"/>
    <col min="10" max="10" width="5.140625" style="28" customWidth="1"/>
    <col min="11" max="11" width="24.5703125" style="23" customWidth="1"/>
    <col min="12" max="12" width="6.85546875" style="192" hidden="1" customWidth="1"/>
    <col min="13" max="13" width="4.28515625" style="192" hidden="1" customWidth="1"/>
    <col min="14" max="237" width="9.140625" style="23"/>
    <col min="238" max="16384" width="9.140625" style="70"/>
  </cols>
  <sheetData>
    <row r="1" spans="1:238" s="2" customFormat="1" ht="18.75">
      <c r="A1" s="1" t="s">
        <v>0</v>
      </c>
      <c r="E1" s="3"/>
      <c r="F1" s="4"/>
      <c r="G1" s="5"/>
      <c r="H1" s="66"/>
      <c r="I1" s="67"/>
      <c r="J1" s="3"/>
      <c r="L1" s="190"/>
      <c r="M1" s="192"/>
      <c r="ID1" s="70"/>
    </row>
    <row r="2" spans="1:238" s="2" customFormat="1" ht="13.5" customHeight="1">
      <c r="E2" s="3"/>
      <c r="F2" s="4"/>
      <c r="G2" s="5"/>
      <c r="H2" s="66"/>
      <c r="I2" s="67"/>
      <c r="J2" s="3"/>
      <c r="K2" s="11" t="s">
        <v>1</v>
      </c>
      <c r="L2" s="190"/>
      <c r="M2" s="192"/>
      <c r="ID2" s="70"/>
    </row>
    <row r="3" spans="1:238" s="12" customFormat="1" ht="4.5" customHeight="1">
      <c r="C3" s="13"/>
      <c r="E3" s="223">
        <v>1.1574074074074073E-5</v>
      </c>
      <c r="F3" s="15"/>
      <c r="G3" s="71"/>
      <c r="H3" s="72"/>
      <c r="I3" s="73"/>
      <c r="J3" s="74"/>
      <c r="K3" s="20"/>
      <c r="L3" s="192"/>
      <c r="M3" s="192"/>
    </row>
    <row r="4" spans="1:238" ht="15.75">
      <c r="C4" s="24" t="s">
        <v>292</v>
      </c>
      <c r="E4" s="25"/>
      <c r="F4" s="26"/>
      <c r="K4" s="29" t="s">
        <v>3</v>
      </c>
    </row>
    <row r="5" spans="1:238" s="12" customFormat="1" ht="4.5" customHeight="1">
      <c r="C5" s="13"/>
      <c r="E5" s="14"/>
      <c r="F5" s="15"/>
      <c r="G5" s="71"/>
      <c r="H5" s="72"/>
      <c r="I5" s="73"/>
      <c r="J5" s="74"/>
      <c r="K5" s="20"/>
      <c r="L5" s="192"/>
      <c r="M5" s="192"/>
    </row>
    <row r="6" spans="1:238" s="12" customFormat="1" ht="12.75" customHeight="1">
      <c r="C6" s="23"/>
      <c r="D6" s="33">
        <v>1</v>
      </c>
      <c r="E6" s="34" t="s">
        <v>140</v>
      </c>
      <c r="F6" s="35"/>
      <c r="G6" s="71"/>
      <c r="H6" s="72"/>
      <c r="I6" s="73"/>
      <c r="J6" s="74"/>
      <c r="K6" s="20"/>
      <c r="L6" s="192"/>
      <c r="M6" s="192"/>
    </row>
    <row r="7" spans="1:238" s="12" customFormat="1" ht="6" customHeight="1">
      <c r="E7" s="36"/>
      <c r="F7" s="37"/>
      <c r="G7" s="71"/>
      <c r="H7" s="77"/>
      <c r="I7" s="73"/>
      <c r="J7" s="74"/>
      <c r="K7" s="20"/>
      <c r="L7" s="192"/>
      <c r="M7" s="192"/>
    </row>
    <row r="8" spans="1:238" ht="11.25" customHeight="1">
      <c r="A8" s="39" t="s">
        <v>5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246" t="s">
        <v>17</v>
      </c>
      <c r="M8" s="193" t="s">
        <v>5</v>
      </c>
    </row>
    <row r="9" spans="1:238" s="92" customFormat="1" ht="16.350000000000001" customHeight="1">
      <c r="A9" s="51">
        <v>1</v>
      </c>
      <c r="B9" s="247">
        <v>147</v>
      </c>
      <c r="C9" s="53" t="s">
        <v>293</v>
      </c>
      <c r="D9" s="54" t="s">
        <v>294</v>
      </c>
      <c r="E9" s="55" t="s">
        <v>295</v>
      </c>
      <c r="F9" s="56" t="s">
        <v>48</v>
      </c>
      <c r="G9" s="218">
        <f t="shared" ref="G9:G28" si="0">IF(ISBLANK(H9),"",TRUNC(0.981*((H9/$E$3)-80.6)^2))</f>
        <v>517</v>
      </c>
      <c r="H9" s="248">
        <v>6.6701388888888886E-4</v>
      </c>
      <c r="I9" s="216"/>
      <c r="J9" s="249" t="str">
        <f t="shared" ref="J9:J28" si="1">IF(ISBLANK(H9),"",IF(H9&gt;0.000706018518518518,"",IF(H9&lt;=0.000541666666666667,"TSM",IF(H9&lt;=0.000561342592592593,"SM",IF(H9&lt;=0.000581018518518519,"KSM",IF(H9&lt;=0.000607638888888889,"I A",IF(H9&lt;=0.000648148148148148,"II A",IF(H9&lt;=0.000706018518518518,"III A"))))))))</f>
        <v>III A</v>
      </c>
      <c r="K9" s="61" t="s">
        <v>296</v>
      </c>
      <c r="L9" s="246" t="s">
        <v>297</v>
      </c>
      <c r="M9" s="193">
        <v>1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</row>
    <row r="10" spans="1:238" s="92" customFormat="1" ht="16.350000000000001" customHeight="1">
      <c r="A10" s="51">
        <v>2</v>
      </c>
      <c r="B10" s="247">
        <v>6</v>
      </c>
      <c r="C10" s="53" t="s">
        <v>298</v>
      </c>
      <c r="D10" s="54" t="s">
        <v>299</v>
      </c>
      <c r="E10" s="55" t="s">
        <v>300</v>
      </c>
      <c r="F10" s="56" t="s">
        <v>21</v>
      </c>
      <c r="G10" s="218">
        <f t="shared" si="0"/>
        <v>706</v>
      </c>
      <c r="H10" s="248">
        <v>6.2233796296296299E-4</v>
      </c>
      <c r="I10" s="216"/>
      <c r="J10" s="249" t="str">
        <f t="shared" si="1"/>
        <v>II A</v>
      </c>
      <c r="K10" s="61" t="s">
        <v>135</v>
      </c>
      <c r="L10" s="246"/>
      <c r="M10" s="193">
        <v>2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</row>
    <row r="11" spans="1:238" s="92" customFormat="1" ht="16.350000000000001" customHeight="1">
      <c r="A11" s="51">
        <v>3</v>
      </c>
      <c r="B11" s="247">
        <v>18</v>
      </c>
      <c r="C11" s="53" t="s">
        <v>301</v>
      </c>
      <c r="D11" s="54" t="s">
        <v>302</v>
      </c>
      <c r="E11" s="55" t="s">
        <v>303</v>
      </c>
      <c r="F11" s="56" t="s">
        <v>21</v>
      </c>
      <c r="G11" s="218">
        <f t="shared" si="0"/>
        <v>734</v>
      </c>
      <c r="H11" s="248">
        <v>6.1608796296296292E-4</v>
      </c>
      <c r="I11" s="216"/>
      <c r="J11" s="249" t="str">
        <f t="shared" si="1"/>
        <v>II A</v>
      </c>
      <c r="K11" s="61" t="s">
        <v>304</v>
      </c>
      <c r="L11" s="246"/>
      <c r="M11" s="193">
        <v>3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</row>
    <row r="12" spans="1:238" s="92" customFormat="1" ht="16.350000000000001" customHeight="1">
      <c r="A12" s="51">
        <v>4</v>
      </c>
      <c r="B12" s="247">
        <v>143</v>
      </c>
      <c r="C12" s="53" t="s">
        <v>305</v>
      </c>
      <c r="D12" s="54" t="s">
        <v>306</v>
      </c>
      <c r="E12" s="55" t="s">
        <v>101</v>
      </c>
      <c r="F12" s="56" t="s">
        <v>48</v>
      </c>
      <c r="G12" s="218">
        <f t="shared" si="0"/>
        <v>792</v>
      </c>
      <c r="H12" s="248">
        <v>6.0381944444444448E-4</v>
      </c>
      <c r="I12" s="216"/>
      <c r="J12" s="249" t="str">
        <f t="shared" si="1"/>
        <v>I A</v>
      </c>
      <c r="K12" s="61" t="s">
        <v>307</v>
      </c>
      <c r="L12" s="246" t="s">
        <v>28</v>
      </c>
      <c r="M12" s="193">
        <v>4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</row>
    <row r="13" spans="1:238" s="12" customFormat="1" ht="4.5" customHeight="1">
      <c r="C13" s="13"/>
      <c r="E13" s="14"/>
      <c r="F13" s="15"/>
      <c r="G13" s="71"/>
      <c r="H13" s="72"/>
      <c r="I13" s="73"/>
      <c r="J13" s="74"/>
      <c r="K13" s="20"/>
      <c r="L13" s="192"/>
      <c r="M13" s="192"/>
    </row>
    <row r="14" spans="1:238" s="12" customFormat="1" ht="12.75" customHeight="1">
      <c r="C14" s="23"/>
      <c r="D14" s="33">
        <v>2</v>
      </c>
      <c r="E14" s="34" t="s">
        <v>140</v>
      </c>
      <c r="F14" s="35"/>
      <c r="G14" s="71"/>
      <c r="H14" s="72"/>
      <c r="I14" s="73"/>
      <c r="J14" s="74"/>
      <c r="K14" s="20"/>
      <c r="L14" s="192"/>
      <c r="M14" s="192"/>
    </row>
    <row r="15" spans="1:238" s="12" customFormat="1" ht="6" customHeight="1">
      <c r="E15" s="36"/>
      <c r="F15" s="37"/>
      <c r="G15" s="71"/>
      <c r="H15" s="77"/>
      <c r="I15" s="73"/>
      <c r="J15" s="74"/>
      <c r="K15" s="20"/>
      <c r="L15" s="192"/>
      <c r="M15" s="192"/>
    </row>
    <row r="16" spans="1:238" ht="11.25" customHeight="1">
      <c r="A16" s="39" t="s">
        <v>5</v>
      </c>
      <c r="B16" s="39" t="s">
        <v>6</v>
      </c>
      <c r="C16" s="41" t="s">
        <v>7</v>
      </c>
      <c r="D16" s="42" t="s">
        <v>8</v>
      </c>
      <c r="E16" s="80" t="s">
        <v>9</v>
      </c>
      <c r="F16" s="44" t="s">
        <v>10</v>
      </c>
      <c r="G16" s="45" t="s">
        <v>11</v>
      </c>
      <c r="H16" s="81" t="s">
        <v>12</v>
      </c>
      <c r="I16" s="82" t="s">
        <v>13</v>
      </c>
      <c r="J16" s="48" t="s">
        <v>15</v>
      </c>
      <c r="K16" s="39" t="s">
        <v>16</v>
      </c>
      <c r="L16" s="246" t="s">
        <v>17</v>
      </c>
      <c r="M16" s="193" t="s">
        <v>5</v>
      </c>
    </row>
    <row r="17" spans="1:238" s="92" customFormat="1" ht="16.350000000000001" customHeight="1">
      <c r="A17" s="51">
        <v>1</v>
      </c>
      <c r="B17" s="247"/>
      <c r="C17" s="53"/>
      <c r="D17" s="54"/>
      <c r="E17" s="55"/>
      <c r="F17" s="56"/>
      <c r="G17" s="218" t="str">
        <f>IF(ISBLANK(H17),"",TRUNC(0.981*((H17/$E$3)-80.6)^2))</f>
        <v/>
      </c>
      <c r="H17" s="248"/>
      <c r="I17" s="216"/>
      <c r="J17" s="249" t="str">
        <f>IF(ISBLANK(H17),"",IF(H17&gt;0.000706018518518518,"",IF(H17&lt;=0.000541666666666667,"TSM",IF(H17&lt;=0.000561342592592593,"SM",IF(H17&lt;=0.000581018518518519,"KSM",IF(H17&lt;=0.000607638888888889,"I A",IF(H17&lt;=0.000648148148148148,"II A",IF(H17&lt;=0.000706018518518518,"III A"))))))))</f>
        <v/>
      </c>
      <c r="K17" s="61"/>
      <c r="L17" s="246"/>
      <c r="M17" s="193">
        <v>1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</row>
    <row r="18" spans="1:238" s="92" customFormat="1" ht="16.350000000000001" customHeight="1">
      <c r="A18" s="51">
        <v>2</v>
      </c>
      <c r="B18" s="247">
        <v>115</v>
      </c>
      <c r="C18" s="53" t="s">
        <v>308</v>
      </c>
      <c r="D18" s="54" t="s">
        <v>309</v>
      </c>
      <c r="E18" s="55" t="s">
        <v>221</v>
      </c>
      <c r="F18" s="56" t="s">
        <v>172</v>
      </c>
      <c r="G18" s="218">
        <f t="shared" si="0"/>
        <v>750</v>
      </c>
      <c r="H18" s="248">
        <v>6.1273148148148146E-4</v>
      </c>
      <c r="I18" s="216"/>
      <c r="J18" s="249" t="str">
        <f t="shared" si="1"/>
        <v>II A</v>
      </c>
      <c r="K18" s="61" t="s">
        <v>310</v>
      </c>
      <c r="L18" s="246"/>
      <c r="M18" s="193">
        <v>2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</row>
    <row r="19" spans="1:238" s="92" customFormat="1" ht="16.350000000000001" customHeight="1">
      <c r="A19" s="51">
        <v>3</v>
      </c>
      <c r="B19" s="247">
        <v>123</v>
      </c>
      <c r="C19" s="53" t="s">
        <v>311</v>
      </c>
      <c r="D19" s="54" t="s">
        <v>312</v>
      </c>
      <c r="E19" s="55" t="s">
        <v>313</v>
      </c>
      <c r="F19" s="56" t="s">
        <v>26</v>
      </c>
      <c r="G19" s="218">
        <f t="shared" si="0"/>
        <v>870</v>
      </c>
      <c r="H19" s="248">
        <v>5.8807870370370372E-4</v>
      </c>
      <c r="I19" s="216"/>
      <c r="J19" s="249" t="str">
        <f t="shared" si="1"/>
        <v>I A</v>
      </c>
      <c r="K19" s="250" t="s">
        <v>314</v>
      </c>
      <c r="L19" s="246" t="s">
        <v>315</v>
      </c>
      <c r="M19" s="193">
        <v>3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</row>
    <row r="20" spans="1:238" s="92" customFormat="1" ht="16.350000000000001" customHeight="1">
      <c r="A20" s="51">
        <v>4</v>
      </c>
      <c r="B20" s="247">
        <v>47</v>
      </c>
      <c r="C20" s="53" t="s">
        <v>316</v>
      </c>
      <c r="D20" s="54" t="s">
        <v>317</v>
      </c>
      <c r="E20" s="55" t="s">
        <v>318</v>
      </c>
      <c r="F20" s="56" t="s">
        <v>59</v>
      </c>
      <c r="G20" s="218">
        <f t="shared" si="0"/>
        <v>671</v>
      </c>
      <c r="H20" s="248">
        <v>6.2997685185185183E-4</v>
      </c>
      <c r="I20" s="216"/>
      <c r="J20" s="249" t="str">
        <f t="shared" si="1"/>
        <v>II A</v>
      </c>
      <c r="K20" s="61" t="s">
        <v>319</v>
      </c>
      <c r="L20" s="246"/>
      <c r="M20" s="193">
        <v>4</v>
      </c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</row>
    <row r="21" spans="1:238" s="12" customFormat="1" ht="4.5" customHeight="1">
      <c r="C21" s="13"/>
      <c r="E21" s="14"/>
      <c r="F21" s="15"/>
      <c r="G21" s="71"/>
      <c r="H21" s="72"/>
      <c r="I21" s="73"/>
      <c r="J21" s="74"/>
      <c r="K21" s="20"/>
      <c r="L21" s="192"/>
      <c r="M21" s="192"/>
    </row>
    <row r="22" spans="1:238" s="12" customFormat="1" ht="12.75" customHeight="1">
      <c r="C22" s="23"/>
      <c r="D22" s="33">
        <v>3</v>
      </c>
      <c r="E22" s="34" t="s">
        <v>140</v>
      </c>
      <c r="F22" s="35"/>
      <c r="G22" s="71"/>
      <c r="H22" s="72"/>
      <c r="I22" s="73"/>
      <c r="J22" s="74"/>
      <c r="K22" s="20"/>
      <c r="L22" s="192"/>
      <c r="M22" s="192"/>
    </row>
    <row r="23" spans="1:238" s="12" customFormat="1" ht="6" customHeight="1">
      <c r="E23" s="36"/>
      <c r="F23" s="37"/>
      <c r="G23" s="71"/>
      <c r="H23" s="77"/>
      <c r="I23" s="73"/>
      <c r="J23" s="74"/>
      <c r="K23" s="20"/>
      <c r="L23" s="192"/>
      <c r="M23" s="192"/>
    </row>
    <row r="24" spans="1:238" ht="11.25" customHeight="1">
      <c r="A24" s="39" t="s">
        <v>5</v>
      </c>
      <c r="B24" s="39" t="s">
        <v>6</v>
      </c>
      <c r="C24" s="41" t="s">
        <v>7</v>
      </c>
      <c r="D24" s="42" t="s">
        <v>8</v>
      </c>
      <c r="E24" s="80" t="s">
        <v>9</v>
      </c>
      <c r="F24" s="44" t="s">
        <v>10</v>
      </c>
      <c r="G24" s="45" t="s">
        <v>11</v>
      </c>
      <c r="H24" s="81" t="s">
        <v>12</v>
      </c>
      <c r="I24" s="82" t="s">
        <v>13</v>
      </c>
      <c r="J24" s="48" t="s">
        <v>15</v>
      </c>
      <c r="K24" s="39" t="s">
        <v>16</v>
      </c>
      <c r="L24" s="246" t="s">
        <v>17</v>
      </c>
      <c r="M24" s="193" t="s">
        <v>5</v>
      </c>
    </row>
    <row r="25" spans="1:238" s="92" customFormat="1" ht="16.350000000000001" customHeight="1">
      <c r="A25" s="51">
        <v>1</v>
      </c>
      <c r="B25" s="247"/>
      <c r="C25" s="53"/>
      <c r="D25" s="54"/>
      <c r="E25" s="55"/>
      <c r="F25" s="56"/>
      <c r="G25" s="218" t="str">
        <f t="shared" si="0"/>
        <v/>
      </c>
      <c r="H25" s="248"/>
      <c r="I25" s="216"/>
      <c r="J25" s="249" t="str">
        <f t="shared" si="1"/>
        <v/>
      </c>
      <c r="K25" s="61"/>
      <c r="L25" s="246"/>
      <c r="M25" s="193">
        <v>1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</row>
    <row r="26" spans="1:238" s="92" customFormat="1" ht="16.350000000000001" customHeight="1">
      <c r="A26" s="51">
        <v>2</v>
      </c>
      <c r="B26" s="247">
        <v>82</v>
      </c>
      <c r="C26" s="53" t="s">
        <v>320</v>
      </c>
      <c r="D26" s="54" t="s">
        <v>321</v>
      </c>
      <c r="E26" s="55" t="s">
        <v>322</v>
      </c>
      <c r="F26" s="56" t="s">
        <v>323</v>
      </c>
      <c r="G26" s="218">
        <f t="shared" si="0"/>
        <v>678</v>
      </c>
      <c r="H26" s="248">
        <v>6.2858796296296295E-4</v>
      </c>
      <c r="I26" s="216"/>
      <c r="J26" s="249" t="str">
        <f t="shared" si="1"/>
        <v>II A</v>
      </c>
      <c r="K26" s="61" t="s">
        <v>324</v>
      </c>
      <c r="L26" s="246"/>
      <c r="M26" s="193">
        <v>2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</row>
    <row r="27" spans="1:238" s="92" customFormat="1" ht="16.350000000000001" customHeight="1">
      <c r="A27" s="51">
        <v>3</v>
      </c>
      <c r="B27" s="247">
        <v>169</v>
      </c>
      <c r="C27" s="53" t="s">
        <v>325</v>
      </c>
      <c r="D27" s="54" t="s">
        <v>326</v>
      </c>
      <c r="E27" s="55" t="s">
        <v>327</v>
      </c>
      <c r="F27" s="56" t="s">
        <v>41</v>
      </c>
      <c r="G27" s="218">
        <f t="shared" si="0"/>
        <v>907</v>
      </c>
      <c r="H27" s="248">
        <v>5.807870370370371E-4</v>
      </c>
      <c r="I27" s="216"/>
      <c r="J27" s="249" t="str">
        <f t="shared" si="1"/>
        <v>KSM</v>
      </c>
      <c r="K27" s="61" t="s">
        <v>328</v>
      </c>
      <c r="L27" s="246"/>
      <c r="M27" s="193">
        <v>3</v>
      </c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</row>
    <row r="28" spans="1:238" s="92" customFormat="1" ht="16.350000000000001" customHeight="1">
      <c r="A28" s="51">
        <v>4</v>
      </c>
      <c r="B28" s="247">
        <v>128</v>
      </c>
      <c r="C28" s="53" t="s">
        <v>298</v>
      </c>
      <c r="D28" s="54" t="s">
        <v>329</v>
      </c>
      <c r="E28" s="55" t="s">
        <v>330</v>
      </c>
      <c r="F28" s="56" t="s">
        <v>26</v>
      </c>
      <c r="G28" s="218">
        <f t="shared" si="0"/>
        <v>875</v>
      </c>
      <c r="H28" s="248">
        <v>5.8703703703703706E-4</v>
      </c>
      <c r="I28" s="216"/>
      <c r="J28" s="249" t="str">
        <f t="shared" si="1"/>
        <v>I A</v>
      </c>
      <c r="K28" s="61" t="s">
        <v>331</v>
      </c>
      <c r="L28" s="246" t="s">
        <v>332</v>
      </c>
      <c r="M28" s="193">
        <v>4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</row>
    <row r="29" spans="1:238" s="12" customFormat="1" ht="4.5" customHeight="1">
      <c r="C29" s="13"/>
      <c r="E29" s="14"/>
      <c r="F29" s="15"/>
      <c r="G29" s="71"/>
      <c r="H29" s="72"/>
      <c r="I29" s="73"/>
      <c r="J29" s="74"/>
      <c r="K29" s="20"/>
      <c r="L29" s="192"/>
      <c r="M29" s="192"/>
    </row>
    <row r="30" spans="1:238" s="12" customFormat="1" ht="12.75" customHeight="1">
      <c r="C30" s="23"/>
      <c r="D30" s="33">
        <v>4</v>
      </c>
      <c r="E30" s="34" t="s">
        <v>140</v>
      </c>
      <c r="F30" s="35"/>
      <c r="G30" s="71"/>
      <c r="H30" s="72"/>
      <c r="I30" s="73"/>
      <c r="J30" s="74"/>
      <c r="K30" s="20"/>
      <c r="L30" s="192"/>
      <c r="M30" s="192"/>
    </row>
    <row r="31" spans="1:238" s="12" customFormat="1" ht="6" customHeight="1">
      <c r="E31" s="36"/>
      <c r="F31" s="37"/>
      <c r="G31" s="71"/>
      <c r="H31" s="77"/>
      <c r="I31" s="73"/>
      <c r="J31" s="74"/>
      <c r="K31" s="20"/>
      <c r="L31" s="192"/>
      <c r="M31" s="192"/>
    </row>
    <row r="32" spans="1:238" ht="11.25" customHeight="1">
      <c r="A32" s="39" t="s">
        <v>5</v>
      </c>
      <c r="B32" s="39" t="s">
        <v>6</v>
      </c>
      <c r="C32" s="41" t="s">
        <v>7</v>
      </c>
      <c r="D32" s="42" t="s">
        <v>8</v>
      </c>
      <c r="E32" s="80" t="s">
        <v>9</v>
      </c>
      <c r="F32" s="44" t="s">
        <v>10</v>
      </c>
      <c r="G32" s="45" t="s">
        <v>11</v>
      </c>
      <c r="H32" s="81" t="s">
        <v>12</v>
      </c>
      <c r="I32" s="82" t="s">
        <v>13</v>
      </c>
      <c r="J32" s="48" t="s">
        <v>15</v>
      </c>
      <c r="K32" s="39" t="s">
        <v>16</v>
      </c>
      <c r="L32" s="246" t="s">
        <v>17</v>
      </c>
      <c r="M32" s="193" t="s">
        <v>5</v>
      </c>
    </row>
    <row r="33" spans="1:238" s="92" customFormat="1" ht="16.350000000000001" customHeight="1">
      <c r="A33" s="51">
        <v>1</v>
      </c>
      <c r="B33" s="247"/>
      <c r="C33" s="53"/>
      <c r="D33" s="54"/>
      <c r="E33" s="55"/>
      <c r="F33" s="56"/>
      <c r="G33" s="218" t="str">
        <f>IF(ISBLANK(H33),"",TRUNC(0.981*((H33/$E$3)-80.6)^2))</f>
        <v/>
      </c>
      <c r="H33" s="248"/>
      <c r="I33" s="216"/>
      <c r="J33" s="249" t="str">
        <f>IF(ISBLANK(H33),"",IF(H33&gt;0.000706018518518518,"",IF(H33&lt;=0.000541666666666667,"TSM",IF(H33&lt;=0.000561342592592593,"SM",IF(H33&lt;=0.000581018518518519,"KSM",IF(H33&lt;=0.000607638888888889,"I A",IF(H33&lt;=0.000648148148148148,"II A",IF(H33&lt;=0.000706018518518518,"III A"))))))))</f>
        <v/>
      </c>
      <c r="K33" s="61"/>
      <c r="L33" s="246"/>
      <c r="M33" s="193">
        <v>1</v>
      </c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</row>
    <row r="34" spans="1:238" s="92" customFormat="1" ht="16.350000000000001" customHeight="1">
      <c r="A34" s="51">
        <v>2</v>
      </c>
      <c r="B34" s="247">
        <v>8</v>
      </c>
      <c r="C34" s="53" t="s">
        <v>333</v>
      </c>
      <c r="D34" s="54" t="s">
        <v>334</v>
      </c>
      <c r="E34" s="55" t="s">
        <v>335</v>
      </c>
      <c r="F34" s="56" t="s">
        <v>21</v>
      </c>
      <c r="G34" s="218" t="s">
        <v>73</v>
      </c>
      <c r="H34" s="248">
        <v>6.6805555555555552E-4</v>
      </c>
      <c r="I34" s="216"/>
      <c r="J34" s="249" t="str">
        <f>IF(ISBLANK(H34),"",IF(H34&gt;0.000706018518518518,"",IF(H34&lt;=0.000541666666666667,"TSM",IF(H34&lt;=0.000561342592592593,"SM",IF(H34&lt;=0.000581018518518519,"KSM",IF(H34&lt;=0.000607638888888889,"I A",IF(H34&lt;=0.000648148148148148,"II A",IF(H34&lt;=0.000706018518518518,"III A"))))))))</f>
        <v>III A</v>
      </c>
      <c r="K34" s="61" t="s">
        <v>135</v>
      </c>
      <c r="L34" s="246" t="s">
        <v>336</v>
      </c>
      <c r="M34" s="193">
        <v>2</v>
      </c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</row>
    <row r="35" spans="1:238" s="92" customFormat="1" ht="16.350000000000001" customHeight="1">
      <c r="A35" s="51">
        <v>3</v>
      </c>
      <c r="B35" s="247">
        <v>179</v>
      </c>
      <c r="C35" s="53" t="s">
        <v>337</v>
      </c>
      <c r="D35" s="54" t="s">
        <v>338</v>
      </c>
      <c r="E35" s="55" t="s">
        <v>339</v>
      </c>
      <c r="F35" s="56" t="s">
        <v>80</v>
      </c>
      <c r="G35" s="218" t="s">
        <v>73</v>
      </c>
      <c r="H35" s="248">
        <v>6.2604166666666678E-4</v>
      </c>
      <c r="I35" s="216"/>
      <c r="J35" s="249" t="str">
        <f>IF(ISBLANK(H35),"",IF(H35&gt;0.000706018518518518,"",IF(H35&lt;=0.000541666666666667,"TSM",IF(H35&lt;=0.000561342592592593,"SM",IF(H35&lt;=0.000581018518518519,"KSM",IF(H35&lt;=0.000607638888888889,"I A",IF(H35&lt;=0.000648148148148148,"II A",IF(H35&lt;=0.000706018518518518,"III A"))))))))</f>
        <v>II A</v>
      </c>
      <c r="K35" s="61" t="s">
        <v>307</v>
      </c>
      <c r="L35" s="246"/>
      <c r="M35" s="193">
        <v>3</v>
      </c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</row>
    <row r="36" spans="1:238" s="92" customFormat="1" ht="16.350000000000001" customHeight="1">
      <c r="A36" s="51">
        <v>4</v>
      </c>
      <c r="B36" s="247"/>
      <c r="C36" s="53"/>
      <c r="D36" s="54"/>
      <c r="E36" s="55"/>
      <c r="F36" s="56"/>
      <c r="G36" s="218"/>
      <c r="H36" s="248"/>
      <c r="I36" s="216"/>
      <c r="J36" s="249"/>
      <c r="K36" s="61"/>
      <c r="L36" s="246"/>
      <c r="M36" s="193">
        <v>4</v>
      </c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CCFF"/>
  </sheetPr>
  <dimension ref="A1:ID20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customWidth="1"/>
    <col min="9" max="9" width="4.140625" style="67" hidden="1" customWidth="1"/>
    <col min="10" max="10" width="5.140625" style="28" customWidth="1"/>
    <col min="11" max="11" width="24.5703125" style="23" customWidth="1"/>
    <col min="12" max="12" width="6.85546875" style="192" customWidth="1"/>
    <col min="13" max="13" width="4.28515625" style="192" hidden="1" customWidth="1"/>
    <col min="14" max="237" width="9.140625" style="23"/>
    <col min="238" max="16384" width="9.140625" style="70"/>
  </cols>
  <sheetData>
    <row r="1" spans="1:238" s="2" customFormat="1" ht="18.75">
      <c r="A1" s="1" t="s">
        <v>0</v>
      </c>
      <c r="E1" s="3"/>
      <c r="F1" s="4"/>
      <c r="G1" s="5"/>
      <c r="H1" s="66"/>
      <c r="I1" s="67"/>
      <c r="J1" s="3"/>
      <c r="L1" s="190"/>
      <c r="M1" s="192"/>
      <c r="ID1" s="70"/>
    </row>
    <row r="2" spans="1:238" s="2" customFormat="1" ht="13.5" customHeight="1">
      <c r="E2" s="3"/>
      <c r="F2" s="4"/>
      <c r="G2" s="5"/>
      <c r="H2" s="66"/>
      <c r="I2" s="67"/>
      <c r="J2" s="3"/>
      <c r="K2" s="11" t="s">
        <v>1</v>
      </c>
      <c r="L2" s="190"/>
      <c r="M2" s="192"/>
      <c r="ID2" s="70"/>
    </row>
    <row r="3" spans="1:238" s="12" customFormat="1" ht="4.5" customHeight="1">
      <c r="C3" s="13"/>
      <c r="E3" s="223">
        <v>1.1574074074074073E-5</v>
      </c>
      <c r="F3" s="15"/>
      <c r="G3" s="71"/>
      <c r="H3" s="72"/>
      <c r="I3" s="73"/>
      <c r="J3" s="74"/>
      <c r="K3" s="20"/>
      <c r="L3" s="192"/>
      <c r="M3" s="192"/>
    </row>
    <row r="4" spans="1:238" ht="15.75">
      <c r="C4" s="24" t="s">
        <v>292</v>
      </c>
      <c r="E4" s="25"/>
      <c r="F4" s="26"/>
      <c r="K4" s="29" t="s">
        <v>3</v>
      </c>
    </row>
    <row r="5" spans="1:238" s="12" customFormat="1" ht="4.5" customHeight="1">
      <c r="C5" s="13"/>
      <c r="E5" s="14"/>
      <c r="F5" s="15"/>
      <c r="G5" s="71"/>
      <c r="H5" s="72"/>
      <c r="I5" s="73"/>
      <c r="J5" s="74"/>
      <c r="K5" s="20"/>
      <c r="L5" s="192"/>
      <c r="M5" s="192"/>
    </row>
    <row r="6" spans="1:238" s="12" customFormat="1" ht="12.75" customHeight="1">
      <c r="C6" s="23"/>
      <c r="D6" s="33"/>
      <c r="E6" s="34" t="s">
        <v>205</v>
      </c>
      <c r="F6" s="35"/>
      <c r="G6" s="71"/>
      <c r="H6" s="72"/>
      <c r="I6" s="73"/>
      <c r="J6" s="74"/>
      <c r="K6" s="20"/>
      <c r="L6" s="192"/>
      <c r="M6" s="192"/>
    </row>
    <row r="7" spans="1:238" s="12" customFormat="1" ht="6" customHeight="1">
      <c r="E7" s="36"/>
      <c r="F7" s="37"/>
      <c r="G7" s="71"/>
      <c r="H7" s="77"/>
      <c r="I7" s="73"/>
      <c r="J7" s="74"/>
      <c r="K7" s="20"/>
      <c r="L7" s="192"/>
      <c r="M7" s="192"/>
    </row>
    <row r="8" spans="1:238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246"/>
      <c r="M8" s="193" t="s">
        <v>5</v>
      </c>
    </row>
    <row r="9" spans="1:238" s="92" customFormat="1" ht="16.350000000000001" customHeight="1">
      <c r="A9" s="51">
        <v>1</v>
      </c>
      <c r="B9" s="247">
        <v>169</v>
      </c>
      <c r="C9" s="53" t="s">
        <v>325</v>
      </c>
      <c r="D9" s="54" t="s">
        <v>326</v>
      </c>
      <c r="E9" s="55" t="s">
        <v>327</v>
      </c>
      <c r="F9" s="56" t="s">
        <v>41</v>
      </c>
      <c r="G9" s="218">
        <f t="shared" ref="G9:G18" si="0">IF(ISBLANK(H9),"",TRUNC(0.981*((H9/$E$3)-80.6)^2))</f>
        <v>907</v>
      </c>
      <c r="H9" s="248">
        <v>5.807870370370371E-4</v>
      </c>
      <c r="I9" s="216"/>
      <c r="J9" s="249" t="str">
        <f t="shared" ref="J9:J20" si="1">IF(ISBLANK(H9),"",IF(H9&gt;0.000706018518518518,"",IF(H9&lt;=0.000541666666666667,"TSM",IF(H9&lt;=0.000561342592592593,"SM",IF(H9&lt;=0.000581018518518519,"KSM",IF(H9&lt;=0.000607638888888889,"I A",IF(H9&lt;=0.000648148148148148,"II A",IF(H9&lt;=0.000706018518518518,"III A"))))))))</f>
        <v>KSM</v>
      </c>
      <c r="K9" s="61" t="s">
        <v>328</v>
      </c>
      <c r="L9" s="246"/>
      <c r="M9" s="193">
        <v>3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</row>
    <row r="10" spans="1:238" s="92" customFormat="1" ht="16.350000000000001" customHeight="1">
      <c r="A10" s="51">
        <v>2</v>
      </c>
      <c r="B10" s="247">
        <v>128</v>
      </c>
      <c r="C10" s="53" t="s">
        <v>298</v>
      </c>
      <c r="D10" s="54" t="s">
        <v>329</v>
      </c>
      <c r="E10" s="55" t="s">
        <v>330</v>
      </c>
      <c r="F10" s="56" t="s">
        <v>26</v>
      </c>
      <c r="G10" s="218">
        <f t="shared" si="0"/>
        <v>875</v>
      </c>
      <c r="H10" s="248">
        <v>5.8703703703703706E-4</v>
      </c>
      <c r="I10" s="216"/>
      <c r="J10" s="249" t="str">
        <f t="shared" si="1"/>
        <v>I A</v>
      </c>
      <c r="K10" s="61" t="s">
        <v>331</v>
      </c>
      <c r="L10" s="246"/>
      <c r="M10" s="193">
        <v>4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</row>
    <row r="11" spans="1:238" s="92" customFormat="1" ht="16.350000000000001" customHeight="1">
      <c r="A11" s="51">
        <v>3</v>
      </c>
      <c r="B11" s="247">
        <v>123</v>
      </c>
      <c r="C11" s="53" t="s">
        <v>311</v>
      </c>
      <c r="D11" s="54" t="s">
        <v>312</v>
      </c>
      <c r="E11" s="55" t="s">
        <v>313</v>
      </c>
      <c r="F11" s="56" t="s">
        <v>26</v>
      </c>
      <c r="G11" s="218">
        <f t="shared" si="0"/>
        <v>870</v>
      </c>
      <c r="H11" s="248">
        <v>5.8807870370370372E-4</v>
      </c>
      <c r="I11" s="216"/>
      <c r="J11" s="249" t="str">
        <f t="shared" si="1"/>
        <v>I A</v>
      </c>
      <c r="K11" s="250" t="s">
        <v>314</v>
      </c>
      <c r="L11" s="246"/>
      <c r="M11" s="193">
        <v>3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</row>
    <row r="12" spans="1:238" s="92" customFormat="1" ht="16.350000000000001" customHeight="1">
      <c r="A12" s="51">
        <v>4</v>
      </c>
      <c r="B12" s="247">
        <v>143</v>
      </c>
      <c r="C12" s="53" t="s">
        <v>305</v>
      </c>
      <c r="D12" s="54" t="s">
        <v>306</v>
      </c>
      <c r="E12" s="55" t="s">
        <v>101</v>
      </c>
      <c r="F12" s="56" t="s">
        <v>48</v>
      </c>
      <c r="G12" s="218">
        <f t="shared" si="0"/>
        <v>792</v>
      </c>
      <c r="H12" s="248">
        <v>6.0381944444444448E-4</v>
      </c>
      <c r="I12" s="216"/>
      <c r="J12" s="249" t="str">
        <f t="shared" si="1"/>
        <v>I A</v>
      </c>
      <c r="K12" s="61" t="s">
        <v>307</v>
      </c>
      <c r="L12" s="246"/>
      <c r="M12" s="193">
        <v>4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</row>
    <row r="13" spans="1:238" s="92" customFormat="1" ht="16.350000000000001" customHeight="1">
      <c r="A13" s="51">
        <v>5</v>
      </c>
      <c r="B13" s="247">
        <v>115</v>
      </c>
      <c r="C13" s="53" t="s">
        <v>308</v>
      </c>
      <c r="D13" s="54" t="s">
        <v>309</v>
      </c>
      <c r="E13" s="55" t="s">
        <v>221</v>
      </c>
      <c r="F13" s="56" t="s">
        <v>172</v>
      </c>
      <c r="G13" s="218">
        <f t="shared" si="0"/>
        <v>750</v>
      </c>
      <c r="H13" s="248">
        <v>6.1273148148148146E-4</v>
      </c>
      <c r="I13" s="216"/>
      <c r="J13" s="249" t="str">
        <f t="shared" si="1"/>
        <v>II A</v>
      </c>
      <c r="K13" s="61" t="s">
        <v>310</v>
      </c>
      <c r="L13" s="246"/>
      <c r="M13" s="193">
        <v>2</v>
      </c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</row>
    <row r="14" spans="1:238" s="92" customFormat="1" ht="16.350000000000001" customHeight="1">
      <c r="A14" s="51">
        <v>6</v>
      </c>
      <c r="B14" s="247">
        <v>18</v>
      </c>
      <c r="C14" s="53" t="s">
        <v>301</v>
      </c>
      <c r="D14" s="54" t="s">
        <v>302</v>
      </c>
      <c r="E14" s="55" t="s">
        <v>303</v>
      </c>
      <c r="F14" s="56" t="s">
        <v>21</v>
      </c>
      <c r="G14" s="218">
        <f t="shared" si="0"/>
        <v>734</v>
      </c>
      <c r="H14" s="248">
        <v>6.1608796296296292E-4</v>
      </c>
      <c r="I14" s="216"/>
      <c r="J14" s="249" t="str">
        <f t="shared" si="1"/>
        <v>II A</v>
      </c>
      <c r="K14" s="61" t="s">
        <v>304</v>
      </c>
      <c r="L14" s="246"/>
      <c r="M14" s="193">
        <v>3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</row>
    <row r="15" spans="1:238" s="92" customFormat="1" ht="16.350000000000001" customHeight="1">
      <c r="A15" s="51">
        <v>7</v>
      </c>
      <c r="B15" s="247">
        <v>6</v>
      </c>
      <c r="C15" s="53" t="s">
        <v>298</v>
      </c>
      <c r="D15" s="54" t="s">
        <v>299</v>
      </c>
      <c r="E15" s="55" t="s">
        <v>300</v>
      </c>
      <c r="F15" s="56" t="s">
        <v>21</v>
      </c>
      <c r="G15" s="218">
        <f t="shared" si="0"/>
        <v>706</v>
      </c>
      <c r="H15" s="248">
        <v>6.2233796296296299E-4</v>
      </c>
      <c r="I15" s="216"/>
      <c r="J15" s="249" t="str">
        <f t="shared" si="1"/>
        <v>II A</v>
      </c>
      <c r="K15" s="61" t="s">
        <v>135</v>
      </c>
      <c r="L15" s="246"/>
      <c r="M15" s="193">
        <v>2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</row>
    <row r="16" spans="1:238" s="92" customFormat="1" ht="16.350000000000001" customHeight="1">
      <c r="A16" s="51">
        <v>8</v>
      </c>
      <c r="B16" s="247">
        <v>82</v>
      </c>
      <c r="C16" s="53" t="s">
        <v>320</v>
      </c>
      <c r="D16" s="54" t="s">
        <v>321</v>
      </c>
      <c r="E16" s="55" t="s">
        <v>322</v>
      </c>
      <c r="F16" s="56" t="s">
        <v>323</v>
      </c>
      <c r="G16" s="218">
        <f t="shared" si="0"/>
        <v>678</v>
      </c>
      <c r="H16" s="248">
        <v>6.2858796296296295E-4</v>
      </c>
      <c r="I16" s="216"/>
      <c r="J16" s="249" t="str">
        <f t="shared" si="1"/>
        <v>II A</v>
      </c>
      <c r="K16" s="61" t="s">
        <v>324</v>
      </c>
      <c r="L16" s="246"/>
      <c r="M16" s="193">
        <v>2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</row>
    <row r="17" spans="1:238" s="92" customFormat="1" ht="16.350000000000001" customHeight="1">
      <c r="A17" s="51">
        <v>9</v>
      </c>
      <c r="B17" s="247">
        <v>47</v>
      </c>
      <c r="C17" s="53" t="s">
        <v>316</v>
      </c>
      <c r="D17" s="54" t="s">
        <v>317</v>
      </c>
      <c r="E17" s="55" t="s">
        <v>318</v>
      </c>
      <c r="F17" s="56" t="s">
        <v>59</v>
      </c>
      <c r="G17" s="218">
        <f t="shared" si="0"/>
        <v>671</v>
      </c>
      <c r="H17" s="248">
        <v>6.2997685185185183E-4</v>
      </c>
      <c r="I17" s="216"/>
      <c r="J17" s="249" t="str">
        <f t="shared" si="1"/>
        <v>II A</v>
      </c>
      <c r="K17" s="61" t="s">
        <v>319</v>
      </c>
      <c r="L17" s="246"/>
      <c r="M17" s="193">
        <v>4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</row>
    <row r="18" spans="1:238" s="92" customFormat="1" ht="16.350000000000001" customHeight="1">
      <c r="A18" s="51">
        <v>10</v>
      </c>
      <c r="B18" s="247">
        <v>147</v>
      </c>
      <c r="C18" s="53" t="s">
        <v>293</v>
      </c>
      <c r="D18" s="54" t="s">
        <v>294</v>
      </c>
      <c r="E18" s="55" t="s">
        <v>295</v>
      </c>
      <c r="F18" s="56" t="s">
        <v>48</v>
      </c>
      <c r="G18" s="218">
        <f t="shared" si="0"/>
        <v>517</v>
      </c>
      <c r="H18" s="248">
        <v>6.6701388888888886E-4</v>
      </c>
      <c r="I18" s="216"/>
      <c r="J18" s="249" t="str">
        <f t="shared" si="1"/>
        <v>III A</v>
      </c>
      <c r="K18" s="61" t="s">
        <v>296</v>
      </c>
      <c r="L18" s="246"/>
      <c r="M18" s="193">
        <v>1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</row>
    <row r="19" spans="1:238" s="92" customFormat="1" ht="16.350000000000001" customHeight="1">
      <c r="A19" s="51" t="s">
        <v>73</v>
      </c>
      <c r="B19" s="247">
        <v>8</v>
      </c>
      <c r="C19" s="53" t="s">
        <v>333</v>
      </c>
      <c r="D19" s="54" t="s">
        <v>334</v>
      </c>
      <c r="E19" s="55" t="s">
        <v>335</v>
      </c>
      <c r="F19" s="56" t="s">
        <v>21</v>
      </c>
      <c r="G19" s="218" t="s">
        <v>73</v>
      </c>
      <c r="H19" s="248">
        <v>6.6805555555555552E-4</v>
      </c>
      <c r="I19" s="216"/>
      <c r="J19" s="249" t="str">
        <f t="shared" si="1"/>
        <v>III A</v>
      </c>
      <c r="K19" s="61" t="s">
        <v>135</v>
      </c>
      <c r="L19" s="246"/>
      <c r="M19" s="193">
        <v>2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</row>
    <row r="20" spans="1:238" s="92" customFormat="1" ht="16.350000000000001" customHeight="1">
      <c r="A20" s="51" t="s">
        <v>73</v>
      </c>
      <c r="B20" s="247">
        <v>179</v>
      </c>
      <c r="C20" s="53" t="s">
        <v>337</v>
      </c>
      <c r="D20" s="54" t="s">
        <v>338</v>
      </c>
      <c r="E20" s="55" t="s">
        <v>339</v>
      </c>
      <c r="F20" s="56" t="s">
        <v>80</v>
      </c>
      <c r="G20" s="218" t="s">
        <v>73</v>
      </c>
      <c r="H20" s="248">
        <v>6.2604166666666678E-4</v>
      </c>
      <c r="I20" s="216"/>
      <c r="J20" s="249" t="str">
        <f t="shared" si="1"/>
        <v>II A</v>
      </c>
      <c r="K20" s="61" t="s">
        <v>307</v>
      </c>
      <c r="L20" s="246"/>
      <c r="M20" s="193">
        <v>3</v>
      </c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L12"/>
  <sheetViews>
    <sheetView zoomScaleNormal="100" workbookViewId="0">
      <selection activeCell="H37" sqref="H37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4.5703125" style="23" customWidth="1"/>
    <col min="11" max="11" width="6.28515625" style="213" hidden="1" customWidth="1"/>
    <col min="12" max="12" width="6.28515625" style="213" customWidth="1"/>
    <col min="13" max="245" width="9.140625" style="23"/>
    <col min="246" max="16384" width="9.140625" style="70"/>
  </cols>
  <sheetData>
    <row r="1" spans="1:246" s="2" customFormat="1" ht="18.75">
      <c r="A1" s="1" t="s">
        <v>0</v>
      </c>
      <c r="E1" s="3"/>
      <c r="F1" s="4"/>
      <c r="G1" s="5"/>
      <c r="H1" s="179"/>
      <c r="I1" s="3"/>
      <c r="K1" s="224"/>
      <c r="L1" s="224"/>
      <c r="IL1" s="70"/>
    </row>
    <row r="2" spans="1:246" s="2" customFormat="1" ht="13.5" customHeight="1">
      <c r="E2" s="3"/>
      <c r="F2" s="4"/>
      <c r="G2" s="5"/>
      <c r="H2" s="179"/>
      <c r="I2" s="3"/>
      <c r="J2" s="11" t="s">
        <v>1</v>
      </c>
      <c r="K2" s="224"/>
      <c r="L2" s="224"/>
      <c r="IL2" s="70"/>
    </row>
    <row r="3" spans="1:246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K3" s="96"/>
      <c r="L3" s="96"/>
    </row>
    <row r="4" spans="1:246" ht="15.75">
      <c r="C4" s="24" t="s">
        <v>340</v>
      </c>
      <c r="E4" s="25"/>
      <c r="F4" s="26"/>
      <c r="J4" s="29" t="s">
        <v>3</v>
      </c>
    </row>
    <row r="5" spans="1:246" s="12" customFormat="1" ht="4.5" customHeight="1">
      <c r="C5" s="13"/>
      <c r="E5" s="14"/>
      <c r="F5" s="15"/>
      <c r="G5" s="71"/>
      <c r="H5" s="181"/>
      <c r="I5" s="74"/>
      <c r="J5" s="20"/>
      <c r="K5" s="96"/>
      <c r="L5" s="96"/>
    </row>
    <row r="6" spans="1:246" s="12" customFormat="1" ht="12.75" customHeight="1">
      <c r="C6" s="23"/>
      <c r="D6" s="33" t="s">
        <v>4</v>
      </c>
      <c r="E6" s="34"/>
      <c r="F6" s="35"/>
      <c r="G6" s="71"/>
      <c r="H6" s="181"/>
      <c r="I6" s="74"/>
      <c r="J6" s="20"/>
      <c r="K6" s="96"/>
      <c r="L6" s="96"/>
    </row>
    <row r="7" spans="1:246" s="12" customFormat="1" ht="6" customHeight="1">
      <c r="E7" s="36"/>
      <c r="F7" s="37"/>
      <c r="G7" s="71"/>
      <c r="H7" s="182"/>
      <c r="I7" s="74"/>
      <c r="J7" s="20"/>
      <c r="K7" s="96"/>
      <c r="L7" s="96"/>
    </row>
    <row r="8" spans="1:246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  <c r="K8" s="213" t="s">
        <v>17</v>
      </c>
    </row>
    <row r="9" spans="1:246" ht="16.350000000000001" customHeight="1">
      <c r="A9" s="184">
        <v>1</v>
      </c>
      <c r="B9" s="52">
        <v>158</v>
      </c>
      <c r="C9" s="53" t="s">
        <v>341</v>
      </c>
      <c r="D9" s="54" t="s">
        <v>342</v>
      </c>
      <c r="E9" s="55" t="s">
        <v>343</v>
      </c>
      <c r="F9" s="56" t="s">
        <v>48</v>
      </c>
      <c r="G9" s="85">
        <f>IF(ISBLANK(H9),"",TRUNC(0.0572*((H9/$E$3)-264)^2))</f>
        <v>838</v>
      </c>
      <c r="H9" s="187">
        <v>1.6546296296296298E-3</v>
      </c>
      <c r="I9" s="215" t="str">
        <f>IF(ISBLANK(H9),"",IF(H9&gt;0.00202546296296296,"",IF(H9&lt;=0.00143518518518519,"TSM",IF(H9&lt;=0.00148148148148148,"SM",IF(H9&lt;=0.0015625,"KSM",IF(H9&lt;=0.00166666666666667,"I A",IF(H9&lt;=0.00181712962962963,"II A",IF(H9&lt;=0.00202546296296296,"III A"))))))))</f>
        <v>I A</v>
      </c>
      <c r="J9" s="61" t="s">
        <v>263</v>
      </c>
      <c r="K9" s="189" t="s">
        <v>344</v>
      </c>
      <c r="L9" s="189"/>
      <c r="IL9" s="23"/>
    </row>
    <row r="10" spans="1:246" ht="16.350000000000001" customHeight="1">
      <c r="A10" s="184">
        <v>2</v>
      </c>
      <c r="B10" s="52">
        <v>57</v>
      </c>
      <c r="C10" s="53" t="s">
        <v>119</v>
      </c>
      <c r="D10" s="54" t="s">
        <v>345</v>
      </c>
      <c r="E10" s="55" t="s">
        <v>346</v>
      </c>
      <c r="F10" s="56" t="s">
        <v>59</v>
      </c>
      <c r="G10" s="85">
        <f>IF(ISBLANK(H10),"",TRUNC(0.0572*((H10/$E$3)-264)^2))</f>
        <v>706</v>
      </c>
      <c r="H10" s="187">
        <v>1.7695601851851854E-3</v>
      </c>
      <c r="I10" s="215" t="str">
        <f>IF(ISBLANK(H10),"",IF(H10&gt;0.00202546296296296,"",IF(H10&lt;=0.00143518518518519,"TSM",IF(H10&lt;=0.00148148148148148,"SM",IF(H10&lt;=0.0015625,"KSM",IF(H10&lt;=0.00166666666666667,"I A",IF(H10&lt;=0.00181712962962963,"II A",IF(H10&lt;=0.00202546296296296,"III A"))))))))</f>
        <v>II A</v>
      </c>
      <c r="J10" s="61" t="s">
        <v>84</v>
      </c>
      <c r="K10" s="189"/>
      <c r="L10" s="189"/>
      <c r="IL10" s="23"/>
    </row>
    <row r="11" spans="1:246" ht="16.350000000000001" customHeight="1">
      <c r="A11" s="184">
        <v>3</v>
      </c>
      <c r="B11" s="52">
        <v>59</v>
      </c>
      <c r="C11" s="53" t="s">
        <v>178</v>
      </c>
      <c r="D11" s="54" t="s">
        <v>347</v>
      </c>
      <c r="E11" s="55" t="s">
        <v>348</v>
      </c>
      <c r="F11" s="56" t="s">
        <v>236</v>
      </c>
      <c r="G11" s="85">
        <f>IF(ISBLANK(H11),"",TRUNC(0.0572*((H11/$E$3)-264)^2))</f>
        <v>702</v>
      </c>
      <c r="H11" s="187">
        <v>1.7730324074074074E-3</v>
      </c>
      <c r="I11" s="215" t="str">
        <f>IF(ISBLANK(H11),"",IF(H11&gt;0.00202546296296296,"",IF(H11&lt;=0.00143518518518519,"TSM",IF(H11&lt;=0.00148148148148148,"SM",IF(H11&lt;=0.0015625,"KSM",IF(H11&lt;=0.00166666666666667,"I A",IF(H11&lt;=0.00181712962962963,"II A",IF(H11&lt;=0.00202546296296296,"III A"))))))))</f>
        <v>II A</v>
      </c>
      <c r="J11" s="61" t="s">
        <v>349</v>
      </c>
      <c r="K11" s="189"/>
      <c r="L11" s="189"/>
      <c r="IL11" s="23"/>
    </row>
    <row r="12" spans="1:246" ht="16.350000000000001" customHeight="1">
      <c r="A12" s="184">
        <v>4</v>
      </c>
      <c r="B12" s="52">
        <v>139</v>
      </c>
      <c r="C12" s="53" t="s">
        <v>350</v>
      </c>
      <c r="D12" s="54" t="s">
        <v>351</v>
      </c>
      <c r="E12" s="55" t="s">
        <v>352</v>
      </c>
      <c r="F12" s="56" t="s">
        <v>172</v>
      </c>
      <c r="G12" s="85">
        <f>IF(ISBLANK(H12),"",TRUNC(0.0572*((H12/$E$3)-264)^2))</f>
        <v>565</v>
      </c>
      <c r="H12" s="187">
        <v>1.9046296296296296E-3</v>
      </c>
      <c r="I12" s="215" t="str">
        <f>IF(ISBLANK(H12),"",IF(H12&gt;0.00202546296296296,"",IF(H12&lt;=0.00143518518518519,"TSM",IF(H12&lt;=0.00148148148148148,"SM",IF(H12&lt;=0.0015625,"KSM",IF(H12&lt;=0.00166666666666667,"I A",IF(H12&lt;=0.00181712962962963,"II A",IF(H12&lt;=0.00202546296296296,"III A"))))))))</f>
        <v>III A</v>
      </c>
      <c r="J12" s="61" t="s">
        <v>174</v>
      </c>
      <c r="K12" s="189">
        <v>1.8552083333333335E-3</v>
      </c>
      <c r="L12" s="189"/>
      <c r="IL12" s="23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CCFF"/>
  </sheetPr>
  <dimension ref="A1:IL26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7.5703125" style="23" customWidth="1"/>
    <col min="11" max="11" width="5.42578125" style="64" hidden="1" customWidth="1"/>
    <col min="12" max="12" width="2.7109375" style="28" hidden="1" customWidth="1"/>
    <col min="13" max="14" width="0" style="23" hidden="1" customWidth="1"/>
    <col min="15" max="243" width="9.140625" style="23"/>
    <col min="244" max="16384" width="9.140625" style="70"/>
  </cols>
  <sheetData>
    <row r="1" spans="1:246" s="2" customFormat="1" ht="18.75">
      <c r="A1" s="1" t="s">
        <v>0</v>
      </c>
      <c r="E1" s="3"/>
      <c r="F1" s="4"/>
      <c r="G1" s="5"/>
      <c r="H1" s="179"/>
      <c r="I1" s="3"/>
      <c r="K1" s="25"/>
      <c r="L1" s="3"/>
      <c r="IJ1" s="70"/>
    </row>
    <row r="2" spans="1:246" s="2" customFormat="1" ht="13.5" customHeight="1">
      <c r="E2" s="3"/>
      <c r="F2" s="4"/>
      <c r="G2" s="5"/>
      <c r="H2" s="179"/>
      <c r="I2" s="3"/>
      <c r="J2" s="11" t="s">
        <v>1</v>
      </c>
      <c r="K2" s="25"/>
      <c r="L2" s="3"/>
      <c r="IJ2" s="70"/>
    </row>
    <row r="3" spans="1:246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K3" s="64"/>
      <c r="L3" s="267"/>
    </row>
    <row r="4" spans="1:246" ht="15.75">
      <c r="C4" s="24" t="s">
        <v>428</v>
      </c>
      <c r="E4" s="25"/>
      <c r="F4" s="26"/>
      <c r="J4" s="29" t="s">
        <v>3</v>
      </c>
    </row>
    <row r="5" spans="1:246" s="12" customFormat="1" ht="4.5" customHeight="1">
      <c r="C5" s="13"/>
      <c r="E5" s="14"/>
      <c r="F5" s="15"/>
      <c r="G5" s="71"/>
      <c r="H5" s="181"/>
      <c r="I5" s="74"/>
      <c r="J5" s="268"/>
      <c r="K5" s="64"/>
      <c r="L5" s="267"/>
    </row>
    <row r="6" spans="1:246" s="12" customFormat="1" ht="12.75" customHeight="1">
      <c r="C6" s="23"/>
      <c r="D6" s="33">
        <v>1</v>
      </c>
      <c r="E6" s="34" t="s">
        <v>429</v>
      </c>
      <c r="F6" s="35"/>
      <c r="G6" s="71"/>
      <c r="H6" s="181"/>
      <c r="I6" s="74"/>
      <c r="J6" s="20"/>
      <c r="K6" s="64"/>
      <c r="L6" s="267"/>
    </row>
    <row r="7" spans="1:246" s="12" customFormat="1" ht="6" customHeight="1">
      <c r="E7" s="36"/>
      <c r="F7" s="37"/>
      <c r="G7" s="71"/>
      <c r="H7" s="182"/>
      <c r="I7" s="74"/>
      <c r="J7" s="20"/>
      <c r="K7" s="64"/>
      <c r="L7" s="267"/>
    </row>
    <row r="8" spans="1:246" ht="11.25" customHeight="1">
      <c r="A8" s="222" t="s">
        <v>43</v>
      </c>
      <c r="B8" s="222" t="s">
        <v>6</v>
      </c>
      <c r="C8" s="221" t="s">
        <v>7</v>
      </c>
      <c r="D8" s="220" t="s">
        <v>8</v>
      </c>
      <c r="E8" s="219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  <c r="K8" s="269" t="s">
        <v>17</v>
      </c>
      <c r="L8" s="19"/>
    </row>
    <row r="9" spans="1:246" ht="16.350000000000001" customHeight="1">
      <c r="A9" s="184">
        <v>1</v>
      </c>
      <c r="B9" s="52">
        <v>120</v>
      </c>
      <c r="C9" s="53" t="s">
        <v>430</v>
      </c>
      <c r="D9" s="54" t="s">
        <v>431</v>
      </c>
      <c r="E9" s="185" t="s">
        <v>432</v>
      </c>
      <c r="F9" s="56" t="s">
        <v>172</v>
      </c>
      <c r="G9" s="270">
        <f>IF(ISBLANK(H9),"",TRUNC(0.1974*((H9/$E$3)-184)^2))</f>
        <v>653</v>
      </c>
      <c r="H9" s="187">
        <v>1.4637731481481481E-3</v>
      </c>
      <c r="I9" s="215" t="str">
        <f t="shared" ref="I9:I15" si="0">IF(ISBLANK(H9),"",IF(H9&gt;0.00171296296296296,"",IF(H9&lt;=0.00125694444444444,"TSM",IF(H9&lt;=0.00129050925925926,"SM",IF(H9&lt;=0.00134259259259259,"KSM",IF(H9&lt;=0.00142361111111111,"I A",IF(H9&lt;=0.00155092592592593,"II A",IF(H9&lt;=0.00171296296296296,"III A"))))))))</f>
        <v>II A</v>
      </c>
      <c r="J9" s="61" t="s">
        <v>416</v>
      </c>
      <c r="K9" s="271" t="s">
        <v>433</v>
      </c>
      <c r="L9" s="272"/>
      <c r="IJ9" s="23"/>
      <c r="IK9" s="23"/>
      <c r="IL9" s="23"/>
    </row>
    <row r="10" spans="1:246" ht="16.350000000000001" customHeight="1">
      <c r="A10" s="184">
        <v>2</v>
      </c>
      <c r="B10" s="52">
        <v>159</v>
      </c>
      <c r="C10" s="53" t="s">
        <v>434</v>
      </c>
      <c r="D10" s="54" t="s">
        <v>435</v>
      </c>
      <c r="E10" s="185" t="s">
        <v>436</v>
      </c>
      <c r="F10" s="56" t="s">
        <v>48</v>
      </c>
      <c r="G10" s="270">
        <f>IF(ISBLANK(H10),"",TRUNC(0.1974*((H10/$E$3)-184)^2))</f>
        <v>602</v>
      </c>
      <c r="H10" s="187">
        <v>1.4901620370370372E-3</v>
      </c>
      <c r="I10" s="215" t="str">
        <f t="shared" si="0"/>
        <v>II A</v>
      </c>
      <c r="J10" s="61" t="s">
        <v>263</v>
      </c>
      <c r="K10" s="271" t="s">
        <v>437</v>
      </c>
      <c r="L10" s="272"/>
      <c r="IJ10" s="23"/>
      <c r="IK10" s="23"/>
      <c r="IL10" s="23"/>
    </row>
    <row r="11" spans="1:246" ht="16.350000000000001" customHeight="1">
      <c r="A11" s="184">
        <v>3</v>
      </c>
      <c r="B11" s="52">
        <v>112</v>
      </c>
      <c r="C11" s="53" t="s">
        <v>438</v>
      </c>
      <c r="D11" s="54" t="s">
        <v>439</v>
      </c>
      <c r="E11" s="185" t="s">
        <v>440</v>
      </c>
      <c r="F11" s="56" t="s">
        <v>112</v>
      </c>
      <c r="G11" s="270">
        <f>IF(ISBLANK(H11),"",TRUNC(0.1974*((H11/$E$3)-184)^2))</f>
        <v>267</v>
      </c>
      <c r="H11" s="187">
        <v>1.7034722222222223E-3</v>
      </c>
      <c r="I11" s="215" t="str">
        <f t="shared" si="0"/>
        <v>III A</v>
      </c>
      <c r="J11" s="61"/>
      <c r="K11" s="271" t="s">
        <v>28</v>
      </c>
      <c r="L11" s="272"/>
      <c r="IJ11" s="23"/>
      <c r="IK11" s="23"/>
      <c r="IL11" s="23"/>
    </row>
    <row r="12" spans="1:246" ht="16.350000000000001" customHeight="1">
      <c r="A12" s="184" t="s">
        <v>73</v>
      </c>
      <c r="B12" s="52">
        <v>177</v>
      </c>
      <c r="C12" s="53" t="s">
        <v>238</v>
      </c>
      <c r="D12" s="54" t="s">
        <v>441</v>
      </c>
      <c r="E12" s="185" t="s">
        <v>442</v>
      </c>
      <c r="F12" s="56" t="s">
        <v>443</v>
      </c>
      <c r="G12" s="270" t="s">
        <v>73</v>
      </c>
      <c r="H12" s="187">
        <v>1.4686342592592592E-3</v>
      </c>
      <c r="I12" s="215" t="str">
        <f>IF(ISBLANK(H12),"",IF(H12&gt;0.00171296296296296,"",IF(H12&lt;=0.00125694444444444,"TSM",IF(H12&lt;=0.00129050925925926,"SM",IF(H12&lt;=0.00134259259259259,"KSM",IF(H12&lt;=0.00142361111111111,"I A",IF(H12&lt;=0.00155092592592593,"II A",IF(H12&lt;=0.00171296296296296,"III A"))))))))</f>
        <v>II A</v>
      </c>
      <c r="J12" s="61" t="s">
        <v>444</v>
      </c>
      <c r="K12" s="271" t="s">
        <v>445</v>
      </c>
      <c r="L12" s="272"/>
      <c r="IJ12" s="23"/>
      <c r="IK12" s="23"/>
      <c r="IL12" s="23"/>
    </row>
    <row r="13" spans="1:246" ht="16.350000000000001" customHeight="1">
      <c r="A13" s="184" t="s">
        <v>73</v>
      </c>
      <c r="B13" s="52">
        <v>110</v>
      </c>
      <c r="C13" s="53" t="s">
        <v>446</v>
      </c>
      <c r="D13" s="54" t="s">
        <v>447</v>
      </c>
      <c r="E13" s="185" t="s">
        <v>448</v>
      </c>
      <c r="F13" s="56" t="s">
        <v>449</v>
      </c>
      <c r="G13" s="270" t="s">
        <v>73</v>
      </c>
      <c r="H13" s="187">
        <v>1.4865740740740742E-3</v>
      </c>
      <c r="I13" s="215" t="str">
        <f>IF(ISBLANK(H13),"",IF(H13&gt;0.00171296296296296,"",IF(H13&lt;=0.00125694444444444,"TSM",IF(H13&lt;=0.00129050925925926,"SM",IF(H13&lt;=0.00134259259259259,"KSM",IF(H13&lt;=0.00142361111111111,"I A",IF(H13&lt;=0.00155092592592593,"II A",IF(H13&lt;=0.00171296296296296,"III A"))))))))</f>
        <v>II A</v>
      </c>
      <c r="J13" s="61" t="s">
        <v>450</v>
      </c>
      <c r="K13" s="271" t="s">
        <v>451</v>
      </c>
      <c r="L13" s="272"/>
      <c r="IJ13" s="23"/>
      <c r="IK13" s="23"/>
      <c r="IL13" s="23"/>
    </row>
    <row r="14" spans="1:246" ht="16.350000000000001" customHeight="1">
      <c r="A14" s="184" t="s">
        <v>73</v>
      </c>
      <c r="B14" s="52">
        <v>66</v>
      </c>
      <c r="C14" s="53" t="s">
        <v>452</v>
      </c>
      <c r="D14" s="54" t="s">
        <v>453</v>
      </c>
      <c r="E14" s="185" t="s">
        <v>454</v>
      </c>
      <c r="F14" s="56" t="s">
        <v>80</v>
      </c>
      <c r="G14" s="270" t="s">
        <v>73</v>
      </c>
      <c r="H14" s="187">
        <v>1.7552083333333332E-3</v>
      </c>
      <c r="I14" s="215" t="str">
        <f t="shared" si="0"/>
        <v/>
      </c>
      <c r="J14" s="61" t="s">
        <v>422</v>
      </c>
      <c r="K14" s="271" t="s">
        <v>28</v>
      </c>
      <c r="L14" s="272"/>
      <c r="IJ14" s="23"/>
      <c r="IK14" s="23"/>
      <c r="IL14" s="23"/>
    </row>
    <row r="15" spans="1:246" ht="16.350000000000001" customHeight="1">
      <c r="A15" s="184"/>
      <c r="B15" s="52">
        <v>11</v>
      </c>
      <c r="C15" s="53" t="s">
        <v>233</v>
      </c>
      <c r="D15" s="54" t="s">
        <v>334</v>
      </c>
      <c r="E15" s="185" t="s">
        <v>423</v>
      </c>
      <c r="F15" s="56" t="s">
        <v>21</v>
      </c>
      <c r="G15" s="270"/>
      <c r="H15" s="187" t="s">
        <v>72</v>
      </c>
      <c r="I15" s="215" t="str">
        <f t="shared" si="0"/>
        <v/>
      </c>
      <c r="J15" s="61" t="s">
        <v>135</v>
      </c>
      <c r="K15" s="271" t="s">
        <v>455</v>
      </c>
      <c r="L15" s="272"/>
      <c r="IJ15" s="23"/>
      <c r="IK15" s="23"/>
      <c r="IL15" s="23"/>
    </row>
    <row r="16" spans="1:246" s="12" customFormat="1" ht="4.5" customHeight="1">
      <c r="C16" s="13"/>
      <c r="E16" s="14"/>
      <c r="F16" s="15"/>
      <c r="G16" s="71"/>
      <c r="H16" s="181"/>
      <c r="I16" s="74"/>
      <c r="J16" s="268"/>
      <c r="K16" s="64"/>
      <c r="L16" s="267"/>
    </row>
    <row r="17" spans="1:246" s="12" customFormat="1" ht="12.75" customHeight="1">
      <c r="C17" s="23"/>
      <c r="D17" s="33">
        <v>2</v>
      </c>
      <c r="E17" s="34" t="s">
        <v>429</v>
      </c>
      <c r="F17" s="35"/>
      <c r="G17" s="71"/>
      <c r="H17" s="181"/>
      <c r="I17" s="74"/>
      <c r="J17" s="20"/>
      <c r="K17" s="64"/>
      <c r="L17" s="267"/>
    </row>
    <row r="18" spans="1:246" s="12" customFormat="1" ht="6" customHeight="1">
      <c r="E18" s="36"/>
      <c r="F18" s="37"/>
      <c r="G18" s="71"/>
      <c r="H18" s="182"/>
      <c r="I18" s="74"/>
      <c r="J18" s="20"/>
      <c r="K18" s="64"/>
      <c r="L18" s="267"/>
    </row>
    <row r="19" spans="1:246" ht="11.25" customHeight="1">
      <c r="A19" s="222" t="s">
        <v>43</v>
      </c>
      <c r="B19" s="222" t="s">
        <v>6</v>
      </c>
      <c r="C19" s="221" t="s">
        <v>7</v>
      </c>
      <c r="D19" s="220" t="s">
        <v>8</v>
      </c>
      <c r="E19" s="219" t="s">
        <v>9</v>
      </c>
      <c r="F19" s="44" t="s">
        <v>10</v>
      </c>
      <c r="G19" s="45" t="s">
        <v>11</v>
      </c>
      <c r="H19" s="183" t="s">
        <v>12</v>
      </c>
      <c r="I19" s="48" t="s">
        <v>15</v>
      </c>
      <c r="J19" s="39" t="s">
        <v>16</v>
      </c>
      <c r="K19" s="269" t="s">
        <v>17</v>
      </c>
      <c r="L19" s="19"/>
    </row>
    <row r="20" spans="1:246" ht="16.350000000000001" customHeight="1">
      <c r="A20" s="184">
        <v>1</v>
      </c>
      <c r="B20" s="52">
        <v>50</v>
      </c>
      <c r="C20" s="53" t="s">
        <v>456</v>
      </c>
      <c r="D20" s="54" t="s">
        <v>457</v>
      </c>
      <c r="E20" s="185" t="s">
        <v>458</v>
      </c>
      <c r="F20" s="56" t="s">
        <v>59</v>
      </c>
      <c r="G20" s="270">
        <f t="shared" ref="G20:G25" si="1">IF(ISBLANK(H20),"",TRUNC(0.1974*((H20/$E$3)-184)^2))</f>
        <v>786</v>
      </c>
      <c r="H20" s="187">
        <v>1.3991898148148147E-3</v>
      </c>
      <c r="I20" s="215" t="str">
        <f t="shared" ref="I20:I26" si="2">IF(ISBLANK(H20),"",IF(H20&gt;0.00171296296296296,"",IF(H20&lt;=0.00125694444444444,"TSM",IF(H20&lt;=0.00129050925925926,"SM",IF(H20&lt;=0.00134259259259259,"KSM",IF(H20&lt;=0.00142361111111111,"I A",IF(H20&lt;=0.00155092592592593,"II A",IF(H20&lt;=0.00171296296296296,"III A"))))))))</f>
        <v>I A</v>
      </c>
      <c r="J20" s="61" t="s">
        <v>150</v>
      </c>
      <c r="K20" s="271" t="s">
        <v>459</v>
      </c>
      <c r="L20" s="272"/>
      <c r="IJ20" s="23"/>
      <c r="IK20" s="23"/>
      <c r="IL20" s="23"/>
    </row>
    <row r="21" spans="1:246" ht="16.350000000000001" customHeight="1">
      <c r="A21" s="184">
        <v>2</v>
      </c>
      <c r="B21" s="52">
        <v>46</v>
      </c>
      <c r="C21" s="53" t="s">
        <v>460</v>
      </c>
      <c r="D21" s="54" t="s">
        <v>461</v>
      </c>
      <c r="E21" s="185" t="s">
        <v>370</v>
      </c>
      <c r="F21" s="56" t="s">
        <v>59</v>
      </c>
      <c r="G21" s="270">
        <f t="shared" si="1"/>
        <v>772</v>
      </c>
      <c r="H21" s="187">
        <v>1.4055555555555555E-3</v>
      </c>
      <c r="I21" s="215" t="str">
        <f t="shared" si="2"/>
        <v>I A</v>
      </c>
      <c r="J21" s="61" t="s">
        <v>319</v>
      </c>
      <c r="K21" s="271" t="s">
        <v>462</v>
      </c>
      <c r="L21" s="272"/>
      <c r="IJ21" s="23"/>
      <c r="IK21" s="23"/>
      <c r="IL21" s="23"/>
    </row>
    <row r="22" spans="1:246" ht="16.350000000000001" customHeight="1">
      <c r="A22" s="184">
        <v>3</v>
      </c>
      <c r="B22" s="52">
        <v>15</v>
      </c>
      <c r="C22" s="53" t="s">
        <v>125</v>
      </c>
      <c r="D22" s="54" t="s">
        <v>463</v>
      </c>
      <c r="E22" s="185" t="s">
        <v>464</v>
      </c>
      <c r="F22" s="56" t="s">
        <v>21</v>
      </c>
      <c r="G22" s="270">
        <f t="shared" si="1"/>
        <v>756</v>
      </c>
      <c r="H22" s="187">
        <v>1.413310185185185E-3</v>
      </c>
      <c r="I22" s="215" t="str">
        <f t="shared" si="2"/>
        <v>I A</v>
      </c>
      <c r="J22" s="61" t="s">
        <v>135</v>
      </c>
      <c r="K22" s="271" t="s">
        <v>465</v>
      </c>
      <c r="L22" s="272"/>
      <c r="IJ22" s="23"/>
      <c r="IK22" s="23"/>
      <c r="IL22" s="23"/>
    </row>
    <row r="23" spans="1:246" ht="16.350000000000001" customHeight="1">
      <c r="A23" s="184">
        <v>4</v>
      </c>
      <c r="B23" s="52">
        <v>156</v>
      </c>
      <c r="C23" s="53" t="s">
        <v>66</v>
      </c>
      <c r="D23" s="54" t="s">
        <v>466</v>
      </c>
      <c r="E23" s="185" t="s">
        <v>467</v>
      </c>
      <c r="F23" s="56" t="s">
        <v>48</v>
      </c>
      <c r="G23" s="270">
        <f t="shared" si="1"/>
        <v>719</v>
      </c>
      <c r="H23" s="187">
        <v>1.4309027777777781E-3</v>
      </c>
      <c r="I23" s="215" t="str">
        <f t="shared" si="2"/>
        <v>II A</v>
      </c>
      <c r="J23" s="61" t="s">
        <v>468</v>
      </c>
      <c r="K23" s="271" t="s">
        <v>469</v>
      </c>
      <c r="L23" s="272"/>
      <c r="IJ23" s="23"/>
      <c r="IK23" s="23"/>
      <c r="IL23" s="23"/>
    </row>
    <row r="24" spans="1:246" ht="16.350000000000001" customHeight="1">
      <c r="A24" s="184">
        <v>5</v>
      </c>
      <c r="B24" s="52">
        <v>48</v>
      </c>
      <c r="C24" s="53" t="s">
        <v>470</v>
      </c>
      <c r="D24" s="54" t="s">
        <v>471</v>
      </c>
      <c r="E24" s="185" t="s">
        <v>472</v>
      </c>
      <c r="F24" s="56" t="s">
        <v>59</v>
      </c>
      <c r="G24" s="270">
        <f t="shared" si="1"/>
        <v>718</v>
      </c>
      <c r="H24" s="187">
        <v>1.4314814814814815E-3</v>
      </c>
      <c r="I24" s="215" t="str">
        <f t="shared" si="2"/>
        <v>II A</v>
      </c>
      <c r="J24" s="61" t="s">
        <v>473</v>
      </c>
      <c r="K24" s="271" t="s">
        <v>474</v>
      </c>
      <c r="L24" s="272"/>
      <c r="IJ24" s="23"/>
      <c r="IK24" s="23"/>
      <c r="IL24" s="23"/>
    </row>
    <row r="25" spans="1:246" ht="16.350000000000001" customHeight="1">
      <c r="A25" s="184">
        <v>6</v>
      </c>
      <c r="B25" s="52">
        <v>160</v>
      </c>
      <c r="C25" s="53" t="s">
        <v>475</v>
      </c>
      <c r="D25" s="54" t="s">
        <v>476</v>
      </c>
      <c r="E25" s="185" t="s">
        <v>477</v>
      </c>
      <c r="F25" s="56" t="s">
        <v>48</v>
      </c>
      <c r="G25" s="270">
        <f t="shared" si="1"/>
        <v>686</v>
      </c>
      <c r="H25" s="187">
        <v>1.4471064814814815E-3</v>
      </c>
      <c r="I25" s="215" t="str">
        <f t="shared" si="2"/>
        <v>II A</v>
      </c>
      <c r="J25" s="61" t="s">
        <v>263</v>
      </c>
      <c r="K25" s="271" t="s">
        <v>478</v>
      </c>
      <c r="L25" s="272"/>
      <c r="IJ25" s="23"/>
      <c r="IK25" s="23"/>
      <c r="IL25" s="23"/>
    </row>
    <row r="26" spans="1:246" ht="16.350000000000001" customHeight="1">
      <c r="A26" s="184">
        <v>7</v>
      </c>
      <c r="B26" s="52">
        <v>78</v>
      </c>
      <c r="C26" s="53" t="s">
        <v>479</v>
      </c>
      <c r="D26" s="54" t="s">
        <v>480</v>
      </c>
      <c r="E26" s="185" t="s">
        <v>467</v>
      </c>
      <c r="F26" s="56" t="s">
        <v>481</v>
      </c>
      <c r="G26" s="270" t="s">
        <v>73</v>
      </c>
      <c r="H26" s="187">
        <v>1.5023148148148148E-3</v>
      </c>
      <c r="I26" s="215" t="str">
        <f t="shared" si="2"/>
        <v>II A</v>
      </c>
      <c r="J26" s="61" t="s">
        <v>482</v>
      </c>
      <c r="K26" s="271"/>
      <c r="L26" s="272"/>
      <c r="M26" s="273">
        <v>1.3532407407407408E-3</v>
      </c>
      <c r="IJ26" s="23"/>
      <c r="IK26" s="23"/>
      <c r="IL26" s="23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CCFF"/>
  </sheetPr>
  <dimension ref="A1:IL22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7.5703125" style="23" customWidth="1"/>
    <col min="11" max="11" width="5.42578125" style="64" hidden="1" customWidth="1"/>
    <col min="12" max="12" width="2.7109375" style="28" hidden="1" customWidth="1"/>
    <col min="13" max="14" width="0" style="23" hidden="1" customWidth="1"/>
    <col min="15" max="243" width="9.140625" style="23"/>
    <col min="244" max="16384" width="9.140625" style="70"/>
  </cols>
  <sheetData>
    <row r="1" spans="1:246" s="2" customFormat="1" ht="18.75">
      <c r="A1" s="1" t="s">
        <v>0</v>
      </c>
      <c r="E1" s="3"/>
      <c r="F1" s="4"/>
      <c r="G1" s="5"/>
      <c r="H1" s="179"/>
      <c r="I1" s="3"/>
      <c r="K1" s="25"/>
      <c r="L1" s="3"/>
      <c r="IJ1" s="70"/>
    </row>
    <row r="2" spans="1:246" s="2" customFormat="1" ht="13.5" customHeight="1">
      <c r="E2" s="3"/>
      <c r="F2" s="4"/>
      <c r="G2" s="5"/>
      <c r="H2" s="179"/>
      <c r="I2" s="3"/>
      <c r="J2" s="11" t="s">
        <v>1</v>
      </c>
      <c r="K2" s="25"/>
      <c r="L2" s="3"/>
      <c r="IJ2" s="70"/>
    </row>
    <row r="3" spans="1:246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K3" s="64"/>
      <c r="L3" s="267"/>
    </row>
    <row r="4" spans="1:246" ht="15.75">
      <c r="C4" s="24" t="s">
        <v>428</v>
      </c>
      <c r="E4" s="25"/>
      <c r="F4" s="26"/>
      <c r="J4" s="29" t="s">
        <v>3</v>
      </c>
    </row>
    <row r="5" spans="1:246" s="12" customFormat="1" ht="4.5" customHeight="1">
      <c r="C5" s="13"/>
      <c r="E5" s="14"/>
      <c r="F5" s="15"/>
      <c r="G5" s="71"/>
      <c r="H5" s="181"/>
      <c r="I5" s="74"/>
      <c r="J5" s="268"/>
      <c r="K5" s="64"/>
      <c r="L5" s="267"/>
    </row>
    <row r="6" spans="1:246" s="12" customFormat="1" ht="12.75" customHeight="1">
      <c r="C6" s="23"/>
      <c r="D6" s="33"/>
      <c r="E6" s="34" t="s">
        <v>205</v>
      </c>
      <c r="F6" s="35"/>
      <c r="G6" s="71"/>
      <c r="H6" s="181"/>
      <c r="I6" s="74"/>
      <c r="J6" s="20"/>
      <c r="K6" s="64"/>
      <c r="L6" s="267"/>
    </row>
    <row r="7" spans="1:246" s="12" customFormat="1" ht="6" customHeight="1">
      <c r="E7" s="36"/>
      <c r="F7" s="37"/>
      <c r="G7" s="71"/>
      <c r="H7" s="182"/>
      <c r="I7" s="74"/>
      <c r="J7" s="20"/>
      <c r="K7" s="64"/>
      <c r="L7" s="267"/>
    </row>
    <row r="8" spans="1:246" ht="11.25" customHeight="1">
      <c r="A8" s="222" t="s">
        <v>43</v>
      </c>
      <c r="B8" s="222" t="s">
        <v>6</v>
      </c>
      <c r="C8" s="221" t="s">
        <v>7</v>
      </c>
      <c r="D8" s="220" t="s">
        <v>8</v>
      </c>
      <c r="E8" s="219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  <c r="K8" s="269" t="s">
        <v>17</v>
      </c>
      <c r="L8" s="19"/>
    </row>
    <row r="9" spans="1:246" ht="16.350000000000001" customHeight="1">
      <c r="A9" s="184">
        <v>1</v>
      </c>
      <c r="B9" s="52">
        <v>50</v>
      </c>
      <c r="C9" s="53" t="s">
        <v>456</v>
      </c>
      <c r="D9" s="54" t="s">
        <v>457</v>
      </c>
      <c r="E9" s="185" t="s">
        <v>458</v>
      </c>
      <c r="F9" s="56" t="s">
        <v>59</v>
      </c>
      <c r="G9" s="270">
        <f t="shared" ref="G9:G17" si="0">IF(ISBLANK(H9),"",TRUNC(0.1974*((H9/$E$3)-184)^2))</f>
        <v>786</v>
      </c>
      <c r="H9" s="187">
        <v>1.3991898148148147E-3</v>
      </c>
      <c r="I9" s="215" t="str">
        <f t="shared" ref="I9:I22" si="1">IF(ISBLANK(H9),"",IF(H9&gt;0.00171296296296296,"",IF(H9&lt;=0.00125694444444444,"TSM",IF(H9&lt;=0.00129050925925926,"SM",IF(H9&lt;=0.00134259259259259,"KSM",IF(H9&lt;=0.00142361111111111,"I A",IF(H9&lt;=0.00155092592592593,"II A",IF(H9&lt;=0.00171296296296296,"III A"))))))))</f>
        <v>I A</v>
      </c>
      <c r="J9" s="61" t="s">
        <v>150</v>
      </c>
      <c r="K9" s="271" t="s">
        <v>459</v>
      </c>
      <c r="L9" s="272"/>
      <c r="IJ9" s="23"/>
      <c r="IK9" s="23"/>
      <c r="IL9" s="23"/>
    </row>
    <row r="10" spans="1:246" ht="16.350000000000001" customHeight="1">
      <c r="A10" s="184">
        <v>2</v>
      </c>
      <c r="B10" s="52">
        <v>46</v>
      </c>
      <c r="C10" s="53" t="s">
        <v>460</v>
      </c>
      <c r="D10" s="54" t="s">
        <v>461</v>
      </c>
      <c r="E10" s="185" t="s">
        <v>370</v>
      </c>
      <c r="F10" s="56" t="s">
        <v>59</v>
      </c>
      <c r="G10" s="270">
        <f t="shared" si="0"/>
        <v>772</v>
      </c>
      <c r="H10" s="187">
        <v>1.4055555555555555E-3</v>
      </c>
      <c r="I10" s="215" t="str">
        <f t="shared" si="1"/>
        <v>I A</v>
      </c>
      <c r="J10" s="61" t="s">
        <v>319</v>
      </c>
      <c r="K10" s="271" t="s">
        <v>462</v>
      </c>
      <c r="L10" s="272"/>
      <c r="IJ10" s="23"/>
      <c r="IK10" s="23"/>
      <c r="IL10" s="23"/>
    </row>
    <row r="11" spans="1:246" ht="16.350000000000001" customHeight="1">
      <c r="A11" s="184">
        <v>3</v>
      </c>
      <c r="B11" s="52">
        <v>15</v>
      </c>
      <c r="C11" s="53" t="s">
        <v>125</v>
      </c>
      <c r="D11" s="54" t="s">
        <v>463</v>
      </c>
      <c r="E11" s="185" t="s">
        <v>464</v>
      </c>
      <c r="F11" s="56" t="s">
        <v>21</v>
      </c>
      <c r="G11" s="270">
        <f t="shared" si="0"/>
        <v>756</v>
      </c>
      <c r="H11" s="187">
        <v>1.413310185185185E-3</v>
      </c>
      <c r="I11" s="215" t="str">
        <f t="shared" si="1"/>
        <v>I A</v>
      </c>
      <c r="J11" s="61" t="s">
        <v>135</v>
      </c>
      <c r="K11" s="271" t="s">
        <v>465</v>
      </c>
      <c r="L11" s="272"/>
      <c r="IJ11" s="23"/>
      <c r="IK11" s="23"/>
      <c r="IL11" s="23"/>
    </row>
    <row r="12" spans="1:246" ht="16.350000000000001" customHeight="1">
      <c r="A12" s="184">
        <v>4</v>
      </c>
      <c r="B12" s="52">
        <v>156</v>
      </c>
      <c r="C12" s="53" t="s">
        <v>66</v>
      </c>
      <c r="D12" s="54" t="s">
        <v>466</v>
      </c>
      <c r="E12" s="185" t="s">
        <v>467</v>
      </c>
      <c r="F12" s="56" t="s">
        <v>48</v>
      </c>
      <c r="G12" s="270">
        <f t="shared" si="0"/>
        <v>719</v>
      </c>
      <c r="H12" s="187">
        <v>1.4309027777777781E-3</v>
      </c>
      <c r="I12" s="215" t="str">
        <f t="shared" si="1"/>
        <v>II A</v>
      </c>
      <c r="J12" s="61" t="s">
        <v>468</v>
      </c>
      <c r="K12" s="271" t="s">
        <v>469</v>
      </c>
      <c r="L12" s="272"/>
      <c r="IJ12" s="23"/>
      <c r="IK12" s="23"/>
      <c r="IL12" s="23"/>
    </row>
    <row r="13" spans="1:246" ht="16.350000000000001" customHeight="1">
      <c r="A13" s="184">
        <v>5</v>
      </c>
      <c r="B13" s="52">
        <v>48</v>
      </c>
      <c r="C13" s="53" t="s">
        <v>470</v>
      </c>
      <c r="D13" s="54" t="s">
        <v>471</v>
      </c>
      <c r="E13" s="185" t="s">
        <v>472</v>
      </c>
      <c r="F13" s="56" t="s">
        <v>59</v>
      </c>
      <c r="G13" s="270">
        <f t="shared" si="0"/>
        <v>718</v>
      </c>
      <c r="H13" s="187">
        <v>1.4314814814814815E-3</v>
      </c>
      <c r="I13" s="215" t="str">
        <f t="shared" si="1"/>
        <v>II A</v>
      </c>
      <c r="J13" s="61" t="s">
        <v>473</v>
      </c>
      <c r="K13" s="271" t="s">
        <v>474</v>
      </c>
      <c r="L13" s="272"/>
      <c r="IJ13" s="23"/>
      <c r="IK13" s="23"/>
      <c r="IL13" s="23"/>
    </row>
    <row r="14" spans="1:246" ht="16.350000000000001" customHeight="1">
      <c r="A14" s="184">
        <v>6</v>
      </c>
      <c r="B14" s="52">
        <v>160</v>
      </c>
      <c r="C14" s="53" t="s">
        <v>475</v>
      </c>
      <c r="D14" s="54" t="s">
        <v>476</v>
      </c>
      <c r="E14" s="185" t="s">
        <v>477</v>
      </c>
      <c r="F14" s="56" t="s">
        <v>48</v>
      </c>
      <c r="G14" s="270">
        <f t="shared" si="0"/>
        <v>686</v>
      </c>
      <c r="H14" s="187">
        <v>1.4471064814814815E-3</v>
      </c>
      <c r="I14" s="215" t="str">
        <f t="shared" si="1"/>
        <v>II A</v>
      </c>
      <c r="J14" s="61" t="s">
        <v>263</v>
      </c>
      <c r="K14" s="271" t="s">
        <v>478</v>
      </c>
      <c r="L14" s="272"/>
      <c r="IJ14" s="23"/>
      <c r="IK14" s="23"/>
      <c r="IL14" s="23"/>
    </row>
    <row r="15" spans="1:246" ht="16.350000000000001" customHeight="1">
      <c r="A15" s="184">
        <v>7</v>
      </c>
      <c r="B15" s="52">
        <v>120</v>
      </c>
      <c r="C15" s="53" t="s">
        <v>430</v>
      </c>
      <c r="D15" s="54" t="s">
        <v>431</v>
      </c>
      <c r="E15" s="185" t="s">
        <v>432</v>
      </c>
      <c r="F15" s="56" t="s">
        <v>172</v>
      </c>
      <c r="G15" s="270">
        <f t="shared" si="0"/>
        <v>653</v>
      </c>
      <c r="H15" s="187">
        <v>1.4637731481481481E-3</v>
      </c>
      <c r="I15" s="215" t="str">
        <f t="shared" si="1"/>
        <v>II A</v>
      </c>
      <c r="J15" s="61" t="s">
        <v>416</v>
      </c>
      <c r="K15" s="271" t="s">
        <v>433</v>
      </c>
      <c r="L15" s="272"/>
      <c r="IJ15" s="23"/>
      <c r="IK15" s="23"/>
      <c r="IL15" s="23"/>
    </row>
    <row r="16" spans="1:246" ht="16.350000000000001" customHeight="1">
      <c r="A16" s="184">
        <v>8</v>
      </c>
      <c r="B16" s="52">
        <v>159</v>
      </c>
      <c r="C16" s="53" t="s">
        <v>434</v>
      </c>
      <c r="D16" s="54" t="s">
        <v>435</v>
      </c>
      <c r="E16" s="185" t="s">
        <v>436</v>
      </c>
      <c r="F16" s="56" t="s">
        <v>48</v>
      </c>
      <c r="G16" s="270">
        <f t="shared" si="0"/>
        <v>602</v>
      </c>
      <c r="H16" s="187">
        <v>1.4901620370370372E-3</v>
      </c>
      <c r="I16" s="215" t="str">
        <f t="shared" si="1"/>
        <v>II A</v>
      </c>
      <c r="J16" s="61" t="s">
        <v>263</v>
      </c>
      <c r="K16" s="271" t="s">
        <v>437</v>
      </c>
      <c r="L16" s="272"/>
      <c r="IJ16" s="23"/>
      <c r="IK16" s="23"/>
      <c r="IL16" s="23"/>
    </row>
    <row r="17" spans="1:246" ht="16.350000000000001" customHeight="1">
      <c r="A17" s="184">
        <v>9</v>
      </c>
      <c r="B17" s="52">
        <v>112</v>
      </c>
      <c r="C17" s="53" t="s">
        <v>438</v>
      </c>
      <c r="D17" s="54" t="s">
        <v>439</v>
      </c>
      <c r="E17" s="185" t="s">
        <v>440</v>
      </c>
      <c r="F17" s="56" t="s">
        <v>112</v>
      </c>
      <c r="G17" s="270">
        <f t="shared" si="0"/>
        <v>267</v>
      </c>
      <c r="H17" s="187">
        <v>1.7034722222222223E-3</v>
      </c>
      <c r="I17" s="215" t="str">
        <f t="shared" si="1"/>
        <v>III A</v>
      </c>
      <c r="J17" s="61"/>
      <c r="K17" s="271" t="s">
        <v>28</v>
      </c>
      <c r="L17" s="272"/>
      <c r="IJ17" s="23"/>
      <c r="IK17" s="23"/>
      <c r="IL17" s="23"/>
    </row>
    <row r="18" spans="1:246" ht="16.350000000000001" customHeight="1">
      <c r="A18" s="184" t="s">
        <v>73</v>
      </c>
      <c r="B18" s="52">
        <v>177</v>
      </c>
      <c r="C18" s="53" t="s">
        <v>238</v>
      </c>
      <c r="D18" s="54" t="s">
        <v>441</v>
      </c>
      <c r="E18" s="185" t="s">
        <v>442</v>
      </c>
      <c r="F18" s="56" t="s">
        <v>443</v>
      </c>
      <c r="G18" s="270" t="s">
        <v>73</v>
      </c>
      <c r="H18" s="187">
        <v>1.4686342592592592E-3</v>
      </c>
      <c r="I18" s="215" t="str">
        <f t="shared" si="1"/>
        <v>II A</v>
      </c>
      <c r="J18" s="61" t="s">
        <v>444</v>
      </c>
      <c r="K18" s="271" t="s">
        <v>445</v>
      </c>
      <c r="L18" s="272"/>
      <c r="IJ18" s="23"/>
      <c r="IK18" s="23"/>
      <c r="IL18" s="23"/>
    </row>
    <row r="19" spans="1:246" ht="16.350000000000001" customHeight="1">
      <c r="A19" s="184" t="s">
        <v>73</v>
      </c>
      <c r="B19" s="52">
        <v>110</v>
      </c>
      <c r="C19" s="53" t="s">
        <v>446</v>
      </c>
      <c r="D19" s="54" t="s">
        <v>447</v>
      </c>
      <c r="E19" s="185" t="s">
        <v>448</v>
      </c>
      <c r="F19" s="56" t="s">
        <v>449</v>
      </c>
      <c r="G19" s="270" t="s">
        <v>73</v>
      </c>
      <c r="H19" s="187">
        <v>1.4865740740740742E-3</v>
      </c>
      <c r="I19" s="215" t="str">
        <f t="shared" si="1"/>
        <v>II A</v>
      </c>
      <c r="J19" s="61" t="s">
        <v>450</v>
      </c>
      <c r="K19" s="271" t="s">
        <v>451</v>
      </c>
      <c r="L19" s="272"/>
      <c r="IJ19" s="23"/>
      <c r="IK19" s="23"/>
      <c r="IL19" s="23"/>
    </row>
    <row r="20" spans="1:246" ht="16.350000000000001" customHeight="1">
      <c r="A20" s="184" t="s">
        <v>73</v>
      </c>
      <c r="B20" s="52">
        <v>78</v>
      </c>
      <c r="C20" s="53" t="s">
        <v>479</v>
      </c>
      <c r="D20" s="54" t="s">
        <v>480</v>
      </c>
      <c r="E20" s="185" t="s">
        <v>467</v>
      </c>
      <c r="F20" s="56" t="s">
        <v>481</v>
      </c>
      <c r="G20" s="270" t="s">
        <v>73</v>
      </c>
      <c r="H20" s="187">
        <v>1.5023148148148148E-3</v>
      </c>
      <c r="I20" s="215" t="str">
        <f t="shared" si="1"/>
        <v>II A</v>
      </c>
      <c r="J20" s="61" t="s">
        <v>482</v>
      </c>
      <c r="K20" s="271"/>
      <c r="L20" s="272"/>
      <c r="M20" s="273">
        <v>1.3532407407407408E-3</v>
      </c>
      <c r="IJ20" s="23"/>
      <c r="IK20" s="23"/>
      <c r="IL20" s="23"/>
    </row>
    <row r="21" spans="1:246" ht="16.350000000000001" customHeight="1">
      <c r="A21" s="184" t="s">
        <v>73</v>
      </c>
      <c r="B21" s="52">
        <v>66</v>
      </c>
      <c r="C21" s="53" t="s">
        <v>452</v>
      </c>
      <c r="D21" s="54" t="s">
        <v>453</v>
      </c>
      <c r="E21" s="185" t="s">
        <v>454</v>
      </c>
      <c r="F21" s="56" t="s">
        <v>80</v>
      </c>
      <c r="G21" s="270" t="s">
        <v>73</v>
      </c>
      <c r="H21" s="187">
        <v>1.7552083333333332E-3</v>
      </c>
      <c r="I21" s="215" t="str">
        <f t="shared" si="1"/>
        <v/>
      </c>
      <c r="J21" s="61" t="s">
        <v>422</v>
      </c>
      <c r="K21" s="271" t="s">
        <v>28</v>
      </c>
      <c r="L21" s="272"/>
      <c r="IJ21" s="23"/>
      <c r="IK21" s="23"/>
      <c r="IL21" s="23"/>
    </row>
    <row r="22" spans="1:246" ht="16.350000000000001" customHeight="1">
      <c r="A22" s="184"/>
      <c r="B22" s="52">
        <v>11</v>
      </c>
      <c r="C22" s="53" t="s">
        <v>233</v>
      </c>
      <c r="D22" s="54" t="s">
        <v>334</v>
      </c>
      <c r="E22" s="185" t="s">
        <v>423</v>
      </c>
      <c r="F22" s="56" t="s">
        <v>21</v>
      </c>
      <c r="G22" s="270"/>
      <c r="H22" s="187" t="s">
        <v>72</v>
      </c>
      <c r="I22" s="215" t="str">
        <f t="shared" si="1"/>
        <v/>
      </c>
      <c r="J22" s="61" t="s">
        <v>135</v>
      </c>
      <c r="K22" s="271" t="s">
        <v>455</v>
      </c>
      <c r="L22" s="272"/>
      <c r="IJ22" s="23"/>
      <c r="IK22" s="23"/>
      <c r="IL22" s="23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O16"/>
  <sheetViews>
    <sheetView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4.5703125" style="23" customWidth="1"/>
    <col min="11" max="12" width="7" style="23" hidden="1" customWidth="1"/>
    <col min="13" max="13" width="5.28515625" style="213" customWidth="1"/>
    <col min="14" max="248" width="9.140625" style="23"/>
    <col min="249" max="16384" width="9.140625" style="70"/>
  </cols>
  <sheetData>
    <row r="1" spans="1:249" s="2" customFormat="1" ht="18.75">
      <c r="A1" s="1" t="s">
        <v>0</v>
      </c>
      <c r="E1" s="3"/>
      <c r="F1" s="4"/>
      <c r="G1" s="5"/>
      <c r="H1" s="179"/>
      <c r="I1" s="3"/>
      <c r="M1" s="224"/>
      <c r="IO1" s="70"/>
    </row>
    <row r="2" spans="1:249" s="2" customFormat="1" ht="13.5" customHeight="1">
      <c r="E2" s="3"/>
      <c r="F2" s="4"/>
      <c r="G2" s="5"/>
      <c r="H2" s="179"/>
      <c r="I2" s="3"/>
      <c r="J2" s="11" t="s">
        <v>1</v>
      </c>
      <c r="M2" s="224"/>
      <c r="IO2" s="70"/>
    </row>
    <row r="3" spans="1:249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M3" s="96"/>
    </row>
    <row r="4" spans="1:249" ht="15.75">
      <c r="C4" s="24" t="s">
        <v>524</v>
      </c>
      <c r="E4" s="25"/>
      <c r="F4" s="26"/>
      <c r="J4" s="29" t="s">
        <v>3</v>
      </c>
    </row>
    <row r="5" spans="1:249" s="12" customFormat="1" ht="4.5" customHeight="1">
      <c r="C5" s="13"/>
      <c r="E5" s="14"/>
      <c r="F5" s="15"/>
      <c r="G5" s="71"/>
      <c r="H5" s="181"/>
      <c r="I5" s="74"/>
      <c r="J5" s="20"/>
      <c r="M5" s="96"/>
    </row>
    <row r="6" spans="1:249" s="12" customFormat="1" ht="12.75" customHeight="1">
      <c r="C6" s="23"/>
      <c r="D6" s="33"/>
      <c r="E6" s="34"/>
      <c r="F6" s="35"/>
      <c r="G6" s="71"/>
      <c r="H6" s="181"/>
      <c r="I6" s="74"/>
      <c r="J6" s="20"/>
      <c r="M6" s="96"/>
    </row>
    <row r="7" spans="1:249" s="12" customFormat="1" ht="6" customHeight="1">
      <c r="E7" s="36"/>
      <c r="F7" s="37"/>
      <c r="G7" s="71"/>
      <c r="H7" s="182"/>
      <c r="I7" s="74"/>
      <c r="J7" s="20"/>
      <c r="M7" s="96"/>
    </row>
    <row r="8" spans="1:249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  <c r="K8" s="300" t="s">
        <v>17</v>
      </c>
      <c r="L8" s="300" t="s">
        <v>17</v>
      </c>
    </row>
    <row r="9" spans="1:249" ht="16.350000000000001" customHeight="1">
      <c r="A9" s="184">
        <v>1</v>
      </c>
      <c r="B9" s="52">
        <v>93</v>
      </c>
      <c r="C9" s="53" t="s">
        <v>525</v>
      </c>
      <c r="D9" s="54" t="s">
        <v>526</v>
      </c>
      <c r="E9" s="55" t="s">
        <v>527</v>
      </c>
      <c r="F9" s="56" t="s">
        <v>32</v>
      </c>
      <c r="G9" s="186">
        <f t="shared" ref="G9:G15" si="0">IF(ISBLANK(H9),"",TRUNC(0.01365*((H9/$E$3)-540)^2))</f>
        <v>854</v>
      </c>
      <c r="H9" s="187">
        <v>3.3541666666666668E-3</v>
      </c>
      <c r="I9" s="188" t="str">
        <f t="shared" ref="I9:I16" si="1">IF(ISBLANK(H9),"",IF(H9&gt;0.00398148148148148,"",IF(H9&lt;=0.00290509259259259,"TSM",IF(H9&lt;=0.00300925925925926,"SM",IF(H9&lt;=0.0031712962962963,"KSM",IF(H9&lt;=0.00337962962962963,"I A",IF(H9&lt;=0.00363425925925926,"II A",IF(H9&lt;=0.00398148148148148,"III A"))))))))</f>
        <v>I A</v>
      </c>
      <c r="J9" s="61" t="s">
        <v>528</v>
      </c>
      <c r="K9" s="301"/>
      <c r="L9" s="301"/>
      <c r="M9" s="189"/>
    </row>
    <row r="10" spans="1:249" ht="16.350000000000001" customHeight="1">
      <c r="A10" s="184">
        <v>2</v>
      </c>
      <c r="B10" s="52">
        <v>168</v>
      </c>
      <c r="C10" s="53" t="s">
        <v>529</v>
      </c>
      <c r="D10" s="54" t="s">
        <v>530</v>
      </c>
      <c r="E10" s="55" t="s">
        <v>531</v>
      </c>
      <c r="F10" s="56" t="s">
        <v>41</v>
      </c>
      <c r="G10" s="186">
        <f t="shared" si="0"/>
        <v>785</v>
      </c>
      <c r="H10" s="187">
        <v>3.4731481481481484E-3</v>
      </c>
      <c r="I10" s="188" t="str">
        <f t="shared" si="1"/>
        <v>II A</v>
      </c>
      <c r="J10" s="61" t="s">
        <v>328</v>
      </c>
      <c r="K10" s="301" t="s">
        <v>28</v>
      </c>
      <c r="L10" s="301"/>
      <c r="M10" s="189"/>
      <c r="IM10" s="70"/>
      <c r="IN10" s="70"/>
    </row>
    <row r="11" spans="1:249" ht="16.350000000000001" customHeight="1">
      <c r="A11" s="184">
        <v>3</v>
      </c>
      <c r="B11" s="52">
        <v>164</v>
      </c>
      <c r="C11" s="53" t="s">
        <v>532</v>
      </c>
      <c r="D11" s="54" t="s">
        <v>533</v>
      </c>
      <c r="E11" s="55" t="s">
        <v>534</v>
      </c>
      <c r="F11" s="56" t="s">
        <v>41</v>
      </c>
      <c r="G11" s="186">
        <f t="shared" si="0"/>
        <v>683</v>
      </c>
      <c r="H11" s="187">
        <v>3.6593749999999999E-3</v>
      </c>
      <c r="I11" s="188" t="str">
        <f t="shared" si="1"/>
        <v>III A</v>
      </c>
      <c r="J11" s="61" t="s">
        <v>535</v>
      </c>
      <c r="K11" s="301" t="s">
        <v>536</v>
      </c>
      <c r="L11" s="301"/>
      <c r="M11" s="189"/>
    </row>
    <row r="12" spans="1:249" ht="16.350000000000001" customHeight="1">
      <c r="A12" s="184">
        <v>4</v>
      </c>
      <c r="B12" s="52">
        <v>59</v>
      </c>
      <c r="C12" s="53" t="s">
        <v>178</v>
      </c>
      <c r="D12" s="54" t="s">
        <v>347</v>
      </c>
      <c r="E12" s="55" t="s">
        <v>348</v>
      </c>
      <c r="F12" s="56" t="s">
        <v>236</v>
      </c>
      <c r="G12" s="186">
        <f t="shared" si="0"/>
        <v>618</v>
      </c>
      <c r="H12" s="187">
        <v>3.7858796296296299E-3</v>
      </c>
      <c r="I12" s="188" t="str">
        <f t="shared" si="1"/>
        <v>III A</v>
      </c>
      <c r="J12" s="61" t="s">
        <v>349</v>
      </c>
      <c r="K12" s="189"/>
      <c r="L12" s="189"/>
      <c r="M12" s="23"/>
    </row>
    <row r="13" spans="1:249" ht="16.350000000000001" customHeight="1">
      <c r="A13" s="184">
        <v>5</v>
      </c>
      <c r="B13" s="52">
        <v>29</v>
      </c>
      <c r="C13" s="53" t="s">
        <v>537</v>
      </c>
      <c r="D13" s="54" t="s">
        <v>538</v>
      </c>
      <c r="E13" s="55" t="s">
        <v>539</v>
      </c>
      <c r="F13" s="56" t="s">
        <v>21</v>
      </c>
      <c r="G13" s="186">
        <f t="shared" si="0"/>
        <v>580</v>
      </c>
      <c r="H13" s="187">
        <v>3.8631944444444438E-3</v>
      </c>
      <c r="I13" s="188" t="str">
        <f t="shared" si="1"/>
        <v>III A</v>
      </c>
      <c r="J13" s="61" t="s">
        <v>540</v>
      </c>
      <c r="K13" s="301"/>
      <c r="L13" s="301"/>
      <c r="M13" s="189"/>
    </row>
    <row r="14" spans="1:249" ht="16.350000000000001" customHeight="1">
      <c r="A14" s="184">
        <v>6</v>
      </c>
      <c r="B14" s="52">
        <v>67</v>
      </c>
      <c r="C14" s="53" t="s">
        <v>541</v>
      </c>
      <c r="D14" s="54" t="s">
        <v>542</v>
      </c>
      <c r="E14" s="55" t="s">
        <v>543</v>
      </c>
      <c r="F14" s="56" t="s">
        <v>117</v>
      </c>
      <c r="G14" s="186">
        <f t="shared" si="0"/>
        <v>533</v>
      </c>
      <c r="H14" s="187">
        <v>3.9614583333333333E-3</v>
      </c>
      <c r="I14" s="188" t="str">
        <f t="shared" si="1"/>
        <v>III A</v>
      </c>
      <c r="J14" s="61" t="s">
        <v>422</v>
      </c>
      <c r="K14" s="301" t="s">
        <v>28</v>
      </c>
      <c r="L14" s="301" t="s">
        <v>544</v>
      </c>
      <c r="M14" s="189"/>
      <c r="N14" s="302"/>
    </row>
    <row r="15" spans="1:249" ht="16.350000000000001" customHeight="1">
      <c r="A15" s="184">
        <v>7</v>
      </c>
      <c r="B15" s="52">
        <v>88</v>
      </c>
      <c r="C15" s="53" t="s">
        <v>545</v>
      </c>
      <c r="D15" s="54" t="s">
        <v>546</v>
      </c>
      <c r="E15" s="55" t="s">
        <v>547</v>
      </c>
      <c r="F15" s="56" t="s">
        <v>32</v>
      </c>
      <c r="G15" s="186">
        <f t="shared" si="0"/>
        <v>279</v>
      </c>
      <c r="H15" s="187">
        <v>4.5924768518518519E-3</v>
      </c>
      <c r="I15" s="188" t="str">
        <f t="shared" si="1"/>
        <v/>
      </c>
      <c r="J15" s="61" t="s">
        <v>548</v>
      </c>
      <c r="K15" s="301"/>
      <c r="L15" s="301"/>
      <c r="M15" s="189"/>
    </row>
    <row r="16" spans="1:249" ht="16.350000000000001" customHeight="1">
      <c r="A16" s="184"/>
      <c r="B16" s="52">
        <v>80</v>
      </c>
      <c r="C16" s="53" t="s">
        <v>549</v>
      </c>
      <c r="D16" s="54" t="s">
        <v>550</v>
      </c>
      <c r="E16" s="55" t="s">
        <v>551</v>
      </c>
      <c r="F16" s="56" t="s">
        <v>358</v>
      </c>
      <c r="G16" s="186"/>
      <c r="H16" s="187" t="s">
        <v>72</v>
      </c>
      <c r="I16" s="188" t="str">
        <f t="shared" si="1"/>
        <v/>
      </c>
      <c r="J16" s="61"/>
      <c r="K16" s="301" t="s">
        <v>28</v>
      </c>
      <c r="L16" s="301"/>
      <c r="M16" s="189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IN14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4.5703125" style="23" customWidth="1"/>
    <col min="11" max="11" width="9.140625" style="213" hidden="1" customWidth="1"/>
    <col min="12" max="12" width="9.140625" style="213"/>
    <col min="13" max="247" width="9.140625" style="23"/>
    <col min="248" max="16384" width="9.140625" style="70"/>
  </cols>
  <sheetData>
    <row r="1" spans="1:248" s="2" customFormat="1" ht="18.75">
      <c r="A1" s="1" t="s">
        <v>0</v>
      </c>
      <c r="E1" s="3"/>
      <c r="F1" s="4"/>
      <c r="G1" s="5"/>
      <c r="H1" s="179"/>
      <c r="I1" s="3"/>
      <c r="K1" s="224"/>
      <c r="L1" s="224"/>
      <c r="IN1" s="70"/>
    </row>
    <row r="2" spans="1:248" s="2" customFormat="1" ht="13.5" customHeight="1">
      <c r="E2" s="3"/>
      <c r="F2" s="4"/>
      <c r="G2" s="5"/>
      <c r="H2" s="179"/>
      <c r="I2" s="3"/>
      <c r="J2" s="11" t="s">
        <v>1</v>
      </c>
      <c r="K2" s="224"/>
      <c r="L2" s="224"/>
      <c r="IN2" s="70"/>
    </row>
    <row r="3" spans="1:248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K3" s="96"/>
      <c r="L3" s="96"/>
    </row>
    <row r="4" spans="1:248" ht="15.75">
      <c r="C4" s="24" t="s">
        <v>615</v>
      </c>
      <c r="E4" s="25"/>
      <c r="F4" s="26"/>
      <c r="J4" s="29" t="s">
        <v>3</v>
      </c>
    </row>
    <row r="5" spans="1:248" s="12" customFormat="1" ht="4.5" customHeight="1">
      <c r="C5" s="13"/>
      <c r="E5" s="14"/>
      <c r="F5" s="15"/>
      <c r="G5" s="71"/>
      <c r="H5" s="181"/>
      <c r="I5" s="74"/>
      <c r="J5" s="20"/>
      <c r="K5" s="96"/>
      <c r="L5" s="96"/>
    </row>
    <row r="6" spans="1:248" s="12" customFormat="1" ht="12.75" customHeight="1">
      <c r="C6" s="23"/>
      <c r="D6" s="33"/>
      <c r="E6" s="34"/>
      <c r="F6" s="35"/>
      <c r="G6" s="71"/>
      <c r="H6" s="181"/>
      <c r="I6" s="74"/>
      <c r="J6" s="20"/>
      <c r="K6" s="96"/>
      <c r="L6" s="96"/>
    </row>
    <row r="7" spans="1:248" s="12" customFormat="1" ht="6" customHeight="1">
      <c r="E7" s="36"/>
      <c r="F7" s="37"/>
      <c r="G7" s="71"/>
      <c r="H7" s="182"/>
      <c r="I7" s="74"/>
      <c r="J7" s="20"/>
      <c r="K7" s="96"/>
      <c r="L7" s="96"/>
    </row>
    <row r="8" spans="1:248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  <c r="K8" s="213" t="s">
        <v>17</v>
      </c>
    </row>
    <row r="9" spans="1:248" ht="16.350000000000001" customHeight="1">
      <c r="A9" s="184">
        <v>1</v>
      </c>
      <c r="B9" s="52">
        <v>10</v>
      </c>
      <c r="C9" s="53" t="s">
        <v>132</v>
      </c>
      <c r="D9" s="54" t="s">
        <v>133</v>
      </c>
      <c r="E9" s="185" t="s">
        <v>134</v>
      </c>
      <c r="F9" s="56" t="s">
        <v>21</v>
      </c>
      <c r="G9" s="186">
        <f t="shared" ref="G9:G14" si="0">IF(ISBLANK(H9),"",TRUNC(0.04272*((H9/$E$3)-386)^2))</f>
        <v>725</v>
      </c>
      <c r="H9" s="187">
        <v>2.9592592592592591E-3</v>
      </c>
      <c r="I9" s="188" t="str">
        <f t="shared" ref="I9:I14" si="1">IF(ISBLANK(H9),"",IF(H9&gt;0.00355324074074074,"",IF(H9&lt;=0.00257523148148148,"TSM",IF(H9&lt;=0.00263888888888889,"SM",IF(H9&lt;=0.00275462962962963,"KSM",IF(H9&lt;=0.00291666666666667,"I A",IF(H9&lt;=0.00320601851851852,"II A",IF(H9&lt;=0.00355324074074074,"III A"))))))))</f>
        <v>II A</v>
      </c>
      <c r="J9" s="61" t="s">
        <v>135</v>
      </c>
      <c r="K9" s="189"/>
      <c r="L9" s="189"/>
    </row>
    <row r="10" spans="1:248" ht="16.350000000000001" customHeight="1">
      <c r="A10" s="184">
        <v>2</v>
      </c>
      <c r="B10" s="52">
        <v>137</v>
      </c>
      <c r="C10" s="53" t="s">
        <v>503</v>
      </c>
      <c r="D10" s="54" t="s">
        <v>504</v>
      </c>
      <c r="E10" s="185" t="s">
        <v>505</v>
      </c>
      <c r="F10" s="56" t="s">
        <v>172</v>
      </c>
      <c r="G10" s="186">
        <f t="shared" si="0"/>
        <v>720</v>
      </c>
      <c r="H10" s="187">
        <v>2.9649305555555557E-3</v>
      </c>
      <c r="I10" s="188" t="str">
        <f t="shared" si="1"/>
        <v>II A</v>
      </c>
      <c r="J10" s="61" t="s">
        <v>174</v>
      </c>
      <c r="K10" s="189"/>
      <c r="L10" s="189"/>
    </row>
    <row r="11" spans="1:248" ht="16.350000000000001" customHeight="1">
      <c r="A11" s="184">
        <v>3</v>
      </c>
      <c r="B11" s="52">
        <v>15</v>
      </c>
      <c r="C11" s="53" t="s">
        <v>125</v>
      </c>
      <c r="D11" s="54" t="s">
        <v>463</v>
      </c>
      <c r="E11" s="185" t="s">
        <v>464</v>
      </c>
      <c r="F11" s="56" t="s">
        <v>21</v>
      </c>
      <c r="G11" s="186">
        <f t="shared" si="0"/>
        <v>712</v>
      </c>
      <c r="H11" s="187">
        <v>2.9724537037037033E-3</v>
      </c>
      <c r="I11" s="188" t="str">
        <f t="shared" si="1"/>
        <v>II A</v>
      </c>
      <c r="J11" s="61" t="s">
        <v>135</v>
      </c>
      <c r="K11" s="271" t="s">
        <v>465</v>
      </c>
      <c r="L11" s="189"/>
    </row>
    <row r="12" spans="1:248" ht="16.350000000000001" customHeight="1">
      <c r="A12" s="184">
        <v>4</v>
      </c>
      <c r="B12" s="52">
        <v>42</v>
      </c>
      <c r="C12" s="53" t="s">
        <v>616</v>
      </c>
      <c r="D12" s="54" t="s">
        <v>617</v>
      </c>
      <c r="E12" s="185" t="s">
        <v>618</v>
      </c>
      <c r="F12" s="56" t="s">
        <v>21</v>
      </c>
      <c r="G12" s="186">
        <f t="shared" si="0"/>
        <v>685</v>
      </c>
      <c r="H12" s="187">
        <v>3.0013888888888889E-3</v>
      </c>
      <c r="I12" s="188" t="str">
        <f t="shared" si="1"/>
        <v>II A</v>
      </c>
      <c r="J12" s="61" t="s">
        <v>619</v>
      </c>
      <c r="K12" s="189"/>
      <c r="L12" s="189"/>
    </row>
    <row r="13" spans="1:248" ht="16.350000000000001" customHeight="1">
      <c r="A13" s="184">
        <v>5</v>
      </c>
      <c r="B13" s="52">
        <v>69</v>
      </c>
      <c r="C13" s="53" t="s">
        <v>316</v>
      </c>
      <c r="D13" s="54" t="s">
        <v>620</v>
      </c>
      <c r="E13" s="185" t="s">
        <v>621</v>
      </c>
      <c r="F13" s="56" t="s">
        <v>117</v>
      </c>
      <c r="G13" s="186">
        <f t="shared" si="0"/>
        <v>583</v>
      </c>
      <c r="H13" s="187">
        <v>3.1145833333333338E-3</v>
      </c>
      <c r="I13" s="188" t="str">
        <f t="shared" si="1"/>
        <v>II A</v>
      </c>
      <c r="J13" s="61" t="s">
        <v>622</v>
      </c>
      <c r="K13" s="189"/>
      <c r="L13" s="189"/>
      <c r="IM13" s="70"/>
    </row>
    <row r="14" spans="1:248" ht="16.350000000000001" customHeight="1">
      <c r="A14" s="184">
        <v>6</v>
      </c>
      <c r="B14" s="52">
        <v>75</v>
      </c>
      <c r="C14" s="53" t="s">
        <v>219</v>
      </c>
      <c r="D14" s="54" t="s">
        <v>623</v>
      </c>
      <c r="E14" s="185" t="s">
        <v>624</v>
      </c>
      <c r="F14" s="56" t="s">
        <v>117</v>
      </c>
      <c r="G14" s="186">
        <f t="shared" si="0"/>
        <v>527</v>
      </c>
      <c r="H14" s="187">
        <v>3.1809027777777777E-3</v>
      </c>
      <c r="I14" s="188" t="str">
        <f t="shared" si="1"/>
        <v>II A</v>
      </c>
      <c r="J14" s="61" t="s">
        <v>625</v>
      </c>
      <c r="K14" s="189"/>
      <c r="L14" s="189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IN12"/>
  <sheetViews>
    <sheetView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4.5703125" style="23" customWidth="1"/>
    <col min="11" max="12" width="6" style="96" customWidth="1"/>
    <col min="13" max="247" width="9.140625" style="23"/>
    <col min="248" max="16384" width="9.140625" style="70"/>
  </cols>
  <sheetData>
    <row r="1" spans="1:248" s="2" customFormat="1" ht="18.75">
      <c r="A1" s="1" t="s">
        <v>0</v>
      </c>
      <c r="E1" s="3"/>
      <c r="F1" s="4"/>
      <c r="G1" s="5"/>
      <c r="H1" s="179"/>
      <c r="I1" s="3"/>
      <c r="K1" s="96"/>
      <c r="L1" s="96"/>
      <c r="IN1" s="70"/>
    </row>
    <row r="2" spans="1:248" s="2" customFormat="1" ht="13.5" customHeight="1">
      <c r="E2" s="3"/>
      <c r="F2" s="4"/>
      <c r="G2" s="5"/>
      <c r="H2" s="179"/>
      <c r="I2" s="3"/>
      <c r="J2" s="11" t="s">
        <v>1</v>
      </c>
      <c r="K2" s="96"/>
      <c r="L2" s="96"/>
      <c r="IN2" s="70"/>
    </row>
    <row r="3" spans="1:248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K3" s="96"/>
      <c r="L3" s="96"/>
    </row>
    <row r="4" spans="1:248" ht="15.75">
      <c r="C4" s="24" t="s">
        <v>124</v>
      </c>
      <c r="E4" s="25"/>
      <c r="F4" s="26"/>
      <c r="J4" s="29" t="s">
        <v>3</v>
      </c>
    </row>
    <row r="5" spans="1:248" s="12" customFormat="1" ht="4.5" customHeight="1">
      <c r="C5" s="13"/>
      <c r="E5" s="14"/>
      <c r="F5" s="15"/>
      <c r="G5" s="71"/>
      <c r="H5" s="181"/>
      <c r="I5" s="74"/>
      <c r="J5" s="20"/>
      <c r="K5" s="96"/>
      <c r="L5" s="96"/>
    </row>
    <row r="6" spans="1:248" s="12" customFormat="1" ht="12.75" customHeight="1">
      <c r="C6" s="23"/>
      <c r="D6" s="33"/>
      <c r="E6" s="34"/>
      <c r="F6" s="35"/>
      <c r="G6" s="71"/>
      <c r="H6" s="181"/>
      <c r="I6" s="74"/>
      <c r="J6" s="20"/>
      <c r="K6" s="96"/>
      <c r="L6" s="96"/>
    </row>
    <row r="7" spans="1:248" s="12" customFormat="1" ht="6" customHeight="1">
      <c r="E7" s="36"/>
      <c r="F7" s="37"/>
      <c r="G7" s="71"/>
      <c r="H7" s="182"/>
      <c r="I7" s="74"/>
      <c r="J7" s="20"/>
      <c r="K7" s="96"/>
      <c r="L7" s="96"/>
    </row>
    <row r="8" spans="1:248" ht="11.25" customHeight="1">
      <c r="A8" s="39" t="s">
        <v>43</v>
      </c>
      <c r="B8" s="39" t="s">
        <v>6</v>
      </c>
      <c r="C8" s="78" t="s">
        <v>7</v>
      </c>
      <c r="D8" s="79" t="s">
        <v>8</v>
      </c>
      <c r="E8" s="80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</row>
    <row r="9" spans="1:248" ht="16.350000000000001" customHeight="1">
      <c r="A9" s="184">
        <v>1</v>
      </c>
      <c r="B9" s="52">
        <v>185</v>
      </c>
      <c r="C9" s="53" t="s">
        <v>125</v>
      </c>
      <c r="D9" s="54" t="s">
        <v>126</v>
      </c>
      <c r="E9" s="185" t="s">
        <v>127</v>
      </c>
      <c r="F9" s="56" t="s">
        <v>26</v>
      </c>
      <c r="G9" s="186">
        <f>IF(ISBLANK(H9),"",TRUNC(0.008322*((H9/$E$3)-840)^2))</f>
        <v>726</v>
      </c>
      <c r="H9" s="187">
        <v>6.3023148148148153E-3</v>
      </c>
      <c r="I9" s="188" t="str">
        <f>IF(ISBLANK(H9),"",IF(H9&gt;0.00778935185185185,"",IF(H9&lt;=0.00548611111111111,"TSM",IF(H9&lt;=0.00570601851851852,"SM",IF(H9&lt;=0.00596064814814815,"KSM",IF(H9&lt;=0.00640046296296296,"I A",IF(H9&lt;=0.00703703703703704,"II A",IF(H9&lt;=0.00778935185185185,"III A"))))))))</f>
        <v>I A</v>
      </c>
      <c r="J9" s="61" t="s">
        <v>128</v>
      </c>
      <c r="K9" s="189"/>
      <c r="L9" s="189"/>
    </row>
    <row r="10" spans="1:248" ht="16.350000000000001" customHeight="1">
      <c r="A10" s="184">
        <v>2</v>
      </c>
      <c r="B10" s="52">
        <v>155</v>
      </c>
      <c r="C10" s="53" t="s">
        <v>66</v>
      </c>
      <c r="D10" s="54" t="s">
        <v>129</v>
      </c>
      <c r="E10" s="185" t="s">
        <v>130</v>
      </c>
      <c r="F10" s="56" t="s">
        <v>48</v>
      </c>
      <c r="G10" s="186">
        <f>IF(ISBLANK(H10),"",TRUNC(0.008322*((H10/$E$3)-840)^2))</f>
        <v>641</v>
      </c>
      <c r="H10" s="187">
        <v>6.5084490740740736E-3</v>
      </c>
      <c r="I10" s="188" t="str">
        <f>IF(ISBLANK(H10),"",IF(H10&gt;0.00778935185185185,"",IF(H10&lt;=0.00548611111111111,"TSM",IF(H10&lt;=0.00570601851851852,"SM",IF(H10&lt;=0.00596064814814815,"KSM",IF(H10&lt;=0.00640046296296296,"I A",IF(H10&lt;=0.00703703703703704,"II A",IF(H10&lt;=0.00778935185185185,"III A"))))))))</f>
        <v>II A</v>
      </c>
      <c r="J10" s="61" t="s">
        <v>131</v>
      </c>
      <c r="K10" s="189"/>
      <c r="L10" s="189"/>
    </row>
    <row r="11" spans="1:248" ht="16.350000000000001" customHeight="1">
      <c r="A11" s="184">
        <v>3</v>
      </c>
      <c r="B11" s="52">
        <v>10</v>
      </c>
      <c r="C11" s="53" t="s">
        <v>132</v>
      </c>
      <c r="D11" s="54" t="s">
        <v>133</v>
      </c>
      <c r="E11" s="185" t="s">
        <v>134</v>
      </c>
      <c r="F11" s="56" t="s">
        <v>21</v>
      </c>
      <c r="G11" s="186">
        <f>IF(ISBLANK(H11),"",TRUNC(0.008322*((H11/$E$3)-840)^2))</f>
        <v>627</v>
      </c>
      <c r="H11" s="187">
        <v>6.5440972222222228E-3</v>
      </c>
      <c r="I11" s="188" t="str">
        <f>IF(ISBLANK(H11),"",IF(H11&gt;0.00778935185185185,"",IF(H11&lt;=0.00548611111111111,"TSM",IF(H11&lt;=0.00570601851851852,"SM",IF(H11&lt;=0.00596064814814815,"KSM",IF(H11&lt;=0.00640046296296296,"I A",IF(H11&lt;=0.00703703703703704,"II A",IF(H11&lt;=0.00778935185185185,"III A"))))))))</f>
        <v>II A</v>
      </c>
      <c r="J11" s="61" t="s">
        <v>135</v>
      </c>
      <c r="K11" s="189"/>
      <c r="L11" s="189"/>
    </row>
    <row r="12" spans="1:248" ht="16.350000000000001" customHeight="1">
      <c r="A12" s="184">
        <v>4</v>
      </c>
      <c r="B12" s="52">
        <v>56</v>
      </c>
      <c r="C12" s="53" t="s">
        <v>45</v>
      </c>
      <c r="D12" s="54" t="s">
        <v>136</v>
      </c>
      <c r="E12" s="185" t="s">
        <v>137</v>
      </c>
      <c r="F12" s="56" t="s">
        <v>59</v>
      </c>
      <c r="G12" s="186">
        <f>IF(ISBLANK(H12),"",TRUNC(0.008322*((H12/$E$3)-840)^2))</f>
        <v>198</v>
      </c>
      <c r="H12" s="187">
        <v>7.9353009259259255E-3</v>
      </c>
      <c r="I12" s="188" t="str">
        <f>IF(ISBLANK(H12),"",IF(H12&gt;0.00778935185185185,"",IF(H12&lt;=0.00548611111111111,"TSM",IF(H12&lt;=0.00570601851851852,"SM",IF(H12&lt;=0.00596064814814815,"KSM",IF(H12&lt;=0.00640046296296296,"I A",IF(H12&lt;=0.00703703703703704,"II A",IF(H12&lt;=0.00778935185185185,"III A"))))))))</f>
        <v/>
      </c>
      <c r="J12" s="61" t="s">
        <v>138</v>
      </c>
      <c r="K12" s="189"/>
      <c r="L12" s="189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.42578125" style="6" customWidth="1"/>
    <col min="9" max="9" width="4.85546875" style="7" customWidth="1"/>
    <col min="10" max="10" width="9.42578125" style="6" hidden="1" customWidth="1"/>
    <col min="11" max="11" width="4.85546875" style="7" hidden="1" customWidth="1"/>
    <col min="12" max="12" width="5.140625" style="28" customWidth="1"/>
    <col min="13" max="13" width="24.5703125" style="23" customWidth="1"/>
    <col min="14" max="14" width="4.42578125" style="30" hidden="1" customWidth="1"/>
    <col min="15" max="15" width="4.28515625" style="9" hidden="1" customWidth="1"/>
    <col min="16" max="16" width="9.140625" style="31" customWidth="1"/>
    <col min="17" max="16384" width="9.140625" style="31"/>
  </cols>
  <sheetData>
    <row r="1" spans="1:15" s="10" customFormat="1" ht="18.75">
      <c r="A1" s="1" t="s">
        <v>0</v>
      </c>
      <c r="B1" s="2"/>
      <c r="C1" s="2"/>
      <c r="D1" s="2"/>
      <c r="E1" s="3"/>
      <c r="F1" s="4"/>
      <c r="G1" s="5"/>
      <c r="H1" s="6"/>
      <c r="I1" s="7"/>
      <c r="J1" s="6"/>
      <c r="K1" s="7"/>
      <c r="L1" s="3"/>
      <c r="M1" s="2"/>
      <c r="N1" s="8"/>
      <c r="O1" s="9"/>
    </row>
    <row r="2" spans="1:15" s="10" customFormat="1" ht="13.5" customHeight="1">
      <c r="A2" s="2"/>
      <c r="B2" s="2"/>
      <c r="C2" s="2"/>
      <c r="D2" s="2"/>
      <c r="E2" s="3"/>
      <c r="F2" s="4"/>
      <c r="G2" s="5"/>
      <c r="H2" s="6"/>
      <c r="I2" s="7"/>
      <c r="J2" s="6"/>
      <c r="K2" s="7"/>
      <c r="L2" s="3"/>
      <c r="M2" s="11" t="s">
        <v>1</v>
      </c>
      <c r="N2" s="8"/>
      <c r="O2" s="9"/>
    </row>
    <row r="3" spans="1:15" s="22" customFormat="1" ht="4.5" customHeight="1">
      <c r="A3" s="12"/>
      <c r="B3" s="12"/>
      <c r="C3" s="13"/>
      <c r="D3" s="12"/>
      <c r="E3" s="14"/>
      <c r="F3" s="15"/>
      <c r="G3" s="16"/>
      <c r="H3" s="17"/>
      <c r="I3" s="18"/>
      <c r="J3" s="17"/>
      <c r="K3" s="18"/>
      <c r="L3" s="19"/>
      <c r="M3" s="20"/>
      <c r="N3" s="21"/>
      <c r="O3" s="9"/>
    </row>
    <row r="4" spans="1:15" ht="15.75">
      <c r="C4" s="24" t="s">
        <v>2</v>
      </c>
      <c r="E4" s="25"/>
      <c r="F4" s="26"/>
      <c r="M4" s="29" t="s">
        <v>3</v>
      </c>
    </row>
    <row r="5" spans="1:15" s="22" customFormat="1" ht="4.5" customHeight="1">
      <c r="A5" s="12"/>
      <c r="B5" s="12"/>
      <c r="C5" s="13"/>
      <c r="D5" s="12"/>
      <c r="E5" s="14"/>
      <c r="F5" s="15"/>
      <c r="G5" s="16"/>
      <c r="H5" s="17"/>
      <c r="I5" s="18"/>
      <c r="J5" s="17"/>
      <c r="K5" s="18"/>
      <c r="L5" s="19"/>
      <c r="M5" s="32"/>
      <c r="N5" s="21"/>
      <c r="O5" s="9"/>
    </row>
    <row r="6" spans="1:15" s="22" customFormat="1" ht="12.75" customHeight="1">
      <c r="A6" s="12"/>
      <c r="B6" s="12"/>
      <c r="C6" s="23"/>
      <c r="D6" s="33" t="s">
        <v>4</v>
      </c>
      <c r="E6" s="34"/>
      <c r="F6" s="35"/>
      <c r="G6" s="16"/>
      <c r="H6" s="17"/>
      <c r="I6" s="18"/>
      <c r="J6" s="17"/>
      <c r="K6" s="18"/>
      <c r="L6" s="19"/>
      <c r="M6" s="32"/>
      <c r="N6" s="21"/>
      <c r="O6" s="9"/>
    </row>
    <row r="7" spans="1:15" s="22" customFormat="1" ht="6" customHeight="1">
      <c r="A7" s="12"/>
      <c r="B7" s="12"/>
      <c r="C7" s="12"/>
      <c r="D7" s="12"/>
      <c r="E7" s="36"/>
      <c r="F7" s="37"/>
      <c r="G7" s="16"/>
      <c r="H7" s="38"/>
      <c r="I7" s="18"/>
      <c r="J7" s="38"/>
      <c r="K7" s="18"/>
      <c r="L7" s="19"/>
      <c r="M7" s="32"/>
      <c r="N7" s="21"/>
      <c r="O7" s="9"/>
    </row>
    <row r="8" spans="1:15" ht="11.25" customHeight="1">
      <c r="A8" s="39" t="s">
        <v>43</v>
      </c>
      <c r="B8" s="40" t="s">
        <v>6</v>
      </c>
      <c r="C8" s="41" t="s">
        <v>7</v>
      </c>
      <c r="D8" s="42" t="s">
        <v>8</v>
      </c>
      <c r="E8" s="43" t="s">
        <v>9</v>
      </c>
      <c r="F8" s="44" t="s">
        <v>10</v>
      </c>
      <c r="G8" s="45" t="s">
        <v>11</v>
      </c>
      <c r="H8" s="46" t="s">
        <v>12</v>
      </c>
      <c r="I8" s="47" t="s">
        <v>13</v>
      </c>
      <c r="J8" s="46" t="s">
        <v>14</v>
      </c>
      <c r="K8" s="47" t="s">
        <v>13</v>
      </c>
      <c r="L8" s="48" t="s">
        <v>15</v>
      </c>
      <c r="M8" s="39" t="s">
        <v>16</v>
      </c>
      <c r="N8" s="49" t="s">
        <v>17</v>
      </c>
      <c r="O8" s="50" t="s">
        <v>5</v>
      </c>
    </row>
    <row r="9" spans="1:15" s="63" customFormat="1" ht="16.149999999999999" customHeight="1">
      <c r="A9" s="51">
        <v>1</v>
      </c>
      <c r="B9" s="52">
        <v>54</v>
      </c>
      <c r="C9" s="53" t="s">
        <v>34</v>
      </c>
      <c r="D9" s="54" t="s">
        <v>35</v>
      </c>
      <c r="E9" s="55" t="s">
        <v>36</v>
      </c>
      <c r="F9" s="56" t="s">
        <v>26</v>
      </c>
      <c r="G9" s="57">
        <f>IF(ISBLANK(H9),"",TRUNC(11.16*((H9)-18.2)^2))</f>
        <v>952</v>
      </c>
      <c r="H9" s="58">
        <v>8.9600000000000009</v>
      </c>
      <c r="I9" s="59">
        <v>0.17599999999999999</v>
      </c>
      <c r="J9" s="58"/>
      <c r="K9" s="59"/>
      <c r="L9" s="60" t="str">
        <f>IF(ISBLANK(H9),"",IF(H9&gt;11.24,"",IF(H9&lt;=8.18,"TSM",IF(H9&lt;=8.5,"SM",IF(H9&lt;=8.9,"KSM",IF(H9&lt;=9.5,"I A",IF(H9&lt;=10.24,"II A",IF(H9&lt;=11.24,"III A"))))))))</f>
        <v>I A</v>
      </c>
      <c r="M9" s="61" t="s">
        <v>37</v>
      </c>
      <c r="N9" s="62" t="s">
        <v>28</v>
      </c>
      <c r="O9" s="50">
        <v>4</v>
      </c>
    </row>
    <row r="10" spans="1:15" s="63" customFormat="1" ht="16.149999999999999" customHeight="1">
      <c r="A10" s="51">
        <v>2</v>
      </c>
      <c r="B10" s="52">
        <v>171</v>
      </c>
      <c r="C10" s="53" t="s">
        <v>38</v>
      </c>
      <c r="D10" s="54" t="s">
        <v>39</v>
      </c>
      <c r="E10" s="55" t="s">
        <v>40</v>
      </c>
      <c r="F10" s="56" t="s">
        <v>41</v>
      </c>
      <c r="G10" s="57">
        <f>IF(ISBLANK(H10),"",TRUNC(11.16*((H10)-18.2)^2))</f>
        <v>944</v>
      </c>
      <c r="H10" s="58">
        <v>9</v>
      </c>
      <c r="I10" s="59">
        <v>0.17599999999999999</v>
      </c>
      <c r="J10" s="58"/>
      <c r="K10" s="59"/>
      <c r="L10" s="60" t="str">
        <f>IF(ISBLANK(H10),"",IF(H10&gt;11.24,"",IF(H10&lt;=8.18,"TSM",IF(H10&lt;=8.5,"SM",IF(H10&lt;=8.9,"KSM",IF(H10&lt;=9.5,"I A",IF(H10&lt;=10.24,"II A",IF(H10&lt;=11.24,"III A"))))))))</f>
        <v>I A</v>
      </c>
      <c r="M10" s="61" t="s">
        <v>42</v>
      </c>
      <c r="N10" s="62">
        <v>9.02</v>
      </c>
      <c r="O10" s="50">
        <v>5</v>
      </c>
    </row>
    <row r="11" spans="1:15" s="63" customFormat="1" ht="16.149999999999999" customHeight="1">
      <c r="A11" s="51">
        <v>3</v>
      </c>
      <c r="B11" s="52">
        <v>100</v>
      </c>
      <c r="C11" s="53" t="s">
        <v>29</v>
      </c>
      <c r="D11" s="54" t="s">
        <v>30</v>
      </c>
      <c r="E11" s="55" t="s">
        <v>31</v>
      </c>
      <c r="F11" s="56" t="s">
        <v>32</v>
      </c>
      <c r="G11" s="57">
        <f>IF(ISBLANK(H11),"",TRUNC(11.16*((H11)-18.2)^2))</f>
        <v>909</v>
      </c>
      <c r="H11" s="58">
        <v>9.17</v>
      </c>
      <c r="I11" s="59">
        <v>0.20399999999999999</v>
      </c>
      <c r="J11" s="58"/>
      <c r="K11" s="59"/>
      <c r="L11" s="60" t="str">
        <f>IF(ISBLANK(H11),"",IF(H11&gt;11.24,"",IF(H11&lt;=8.18,"TSM",IF(H11&lt;=8.5,"SM",IF(H11&lt;=8.9,"KSM",IF(H11&lt;=9.5,"I A",IF(H11&lt;=10.24,"II A",IF(H11&lt;=11.24,"III A"))))))))</f>
        <v>I A</v>
      </c>
      <c r="M11" s="61" t="s">
        <v>33</v>
      </c>
      <c r="N11" s="62">
        <v>8.99</v>
      </c>
      <c r="O11" s="50">
        <v>3</v>
      </c>
    </row>
    <row r="12" spans="1:15" s="63" customFormat="1" ht="16.149999999999999" customHeight="1">
      <c r="A12" s="51">
        <v>4</v>
      </c>
      <c r="B12" s="52">
        <v>31</v>
      </c>
      <c r="C12" s="53" t="s">
        <v>23</v>
      </c>
      <c r="D12" s="54" t="s">
        <v>24</v>
      </c>
      <c r="E12" s="55" t="s">
        <v>25</v>
      </c>
      <c r="F12" s="56" t="s">
        <v>26</v>
      </c>
      <c r="G12" s="57">
        <f>IF(ISBLANK(H12),"",TRUNC(11.16*((H12)-18.2)^2))</f>
        <v>848</v>
      </c>
      <c r="H12" s="58">
        <v>9.48</v>
      </c>
      <c r="I12" s="59">
        <v>0.17799999999999999</v>
      </c>
      <c r="J12" s="58"/>
      <c r="K12" s="59"/>
      <c r="L12" s="60" t="str">
        <f>IF(ISBLANK(H12),"",IF(H12&gt;11.24,"",IF(H12&lt;=8.18,"TSM",IF(H12&lt;=8.5,"SM",IF(H12&lt;=8.9,"KSM",IF(H12&lt;=9.5,"I A",IF(H12&lt;=10.24,"II A",IF(H12&lt;=11.24,"III A"))))))))</f>
        <v>I A</v>
      </c>
      <c r="M12" s="61" t="s">
        <v>27</v>
      </c>
      <c r="N12" s="62" t="s">
        <v>28</v>
      </c>
      <c r="O12" s="50">
        <v>2</v>
      </c>
    </row>
    <row r="13" spans="1:15" s="63" customFormat="1" ht="16.149999999999999" customHeight="1">
      <c r="A13" s="51">
        <v>5</v>
      </c>
      <c r="B13" s="52">
        <v>12</v>
      </c>
      <c r="C13" s="53" t="s">
        <v>18</v>
      </c>
      <c r="D13" s="54" t="s">
        <v>19</v>
      </c>
      <c r="E13" s="55" t="s">
        <v>20</v>
      </c>
      <c r="F13" s="56" t="s">
        <v>21</v>
      </c>
      <c r="G13" s="57">
        <f>IF(ISBLANK(H13),"",TRUNC(11.16*((H13)-18.2)^2))</f>
        <v>785</v>
      </c>
      <c r="H13" s="58">
        <v>9.81</v>
      </c>
      <c r="I13" s="59">
        <v>0.219</v>
      </c>
      <c r="J13" s="58"/>
      <c r="K13" s="59"/>
      <c r="L13" s="60" t="str">
        <f>IF(ISBLANK(H13),"",IF(H13&gt;11.24,"",IF(H13&lt;=8.18,"TSM",IF(H13&lt;=8.5,"SM",IF(H13&lt;=8.9,"KSM",IF(H13&lt;=9.5,"I A",IF(H13&lt;=10.24,"II A",IF(H13&lt;=11.24,"III A"))))))))</f>
        <v>II A</v>
      </c>
      <c r="M13" s="61" t="s">
        <v>22</v>
      </c>
      <c r="N13" s="62">
        <v>9.74</v>
      </c>
      <c r="O13" s="50">
        <v>1</v>
      </c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IK40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7.5703125" style="27" customWidth="1"/>
    <col min="8" max="8" width="7" style="66" customWidth="1"/>
    <col min="9" max="9" width="4.7109375" style="67" customWidth="1"/>
    <col min="10" max="10" width="7" style="66" customWidth="1"/>
    <col min="11" max="11" width="4.7109375" style="67" customWidth="1"/>
    <col min="12" max="12" width="5.140625" style="28" customWidth="1"/>
    <col min="13" max="13" width="24.5703125" style="23" customWidth="1"/>
    <col min="14" max="14" width="4.7109375" style="192" hidden="1" customWidth="1"/>
    <col min="15" max="15" width="5.28515625" style="191" hidden="1" customWidth="1"/>
    <col min="16" max="16" width="3.5703125" style="192" hidden="1" customWidth="1"/>
    <col min="17" max="244" width="9.140625" style="23"/>
    <col min="245" max="16384" width="9.140625" style="70"/>
  </cols>
  <sheetData>
    <row r="1" spans="1:245" s="2" customFormat="1" ht="18.75">
      <c r="A1" s="1" t="s">
        <v>0</v>
      </c>
      <c r="E1" s="3"/>
      <c r="F1" s="4"/>
      <c r="G1" s="5"/>
      <c r="H1" s="66"/>
      <c r="I1" s="67"/>
      <c r="J1" s="66"/>
      <c r="K1" s="67"/>
      <c r="L1" s="3"/>
      <c r="N1" s="190"/>
      <c r="O1" s="191"/>
      <c r="P1" s="190"/>
      <c r="IK1" s="70"/>
    </row>
    <row r="2" spans="1:245" s="2" customFormat="1" ht="13.5" customHeight="1">
      <c r="E2" s="3"/>
      <c r="F2" s="4"/>
      <c r="G2" s="5"/>
      <c r="H2" s="66"/>
      <c r="I2" s="67"/>
      <c r="J2" s="66"/>
      <c r="K2" s="67"/>
      <c r="L2" s="3"/>
      <c r="M2" s="11" t="s">
        <v>1</v>
      </c>
      <c r="N2" s="190"/>
      <c r="O2" s="191"/>
      <c r="P2" s="190"/>
      <c r="IK2" s="70"/>
    </row>
    <row r="3" spans="1:245" s="12" customFormat="1" ht="4.5" customHeight="1">
      <c r="C3" s="13"/>
      <c r="E3" s="14"/>
      <c r="F3" s="15"/>
      <c r="G3" s="71"/>
      <c r="H3" s="72"/>
      <c r="I3" s="73"/>
      <c r="J3" s="121"/>
      <c r="K3" s="73"/>
      <c r="L3" s="74"/>
      <c r="M3" s="20"/>
      <c r="N3" s="192"/>
      <c r="O3" s="191"/>
      <c r="P3" s="192"/>
    </row>
    <row r="4" spans="1:245" ht="15.75">
      <c r="C4" s="24" t="s">
        <v>139</v>
      </c>
      <c r="E4" s="25"/>
      <c r="F4" s="26"/>
      <c r="M4" s="29" t="s">
        <v>3</v>
      </c>
    </row>
    <row r="5" spans="1:245" s="12" customFormat="1" ht="4.5" customHeight="1">
      <c r="C5" s="13"/>
      <c r="E5" s="14"/>
      <c r="F5" s="15"/>
      <c r="G5" s="71"/>
      <c r="H5" s="72"/>
      <c r="I5" s="73"/>
      <c r="J5" s="121"/>
      <c r="K5" s="73"/>
      <c r="L5" s="74"/>
      <c r="M5" s="20"/>
      <c r="N5" s="192"/>
      <c r="O5" s="191"/>
      <c r="P5" s="192"/>
    </row>
    <row r="6" spans="1:245" s="12" customFormat="1" ht="12.75" customHeight="1">
      <c r="C6" s="23"/>
      <c r="D6" s="33">
        <v>1</v>
      </c>
      <c r="E6" s="34" t="s">
        <v>140</v>
      </c>
      <c r="F6" s="35"/>
      <c r="G6" s="71"/>
      <c r="H6" s="72"/>
      <c r="I6" s="73"/>
      <c r="J6" s="121"/>
      <c r="K6" s="73"/>
      <c r="L6" s="74"/>
      <c r="M6" s="20"/>
      <c r="N6" s="192"/>
      <c r="O6" s="191"/>
      <c r="P6" s="192"/>
    </row>
    <row r="7" spans="1:245" s="12" customFormat="1" ht="6" customHeight="1">
      <c r="E7" s="36"/>
      <c r="F7" s="37"/>
      <c r="G7" s="71"/>
      <c r="H7" s="77"/>
      <c r="I7" s="73"/>
      <c r="J7" s="121"/>
      <c r="K7" s="73"/>
      <c r="L7" s="74"/>
      <c r="M7" s="20"/>
      <c r="N7" s="192"/>
      <c r="O7" s="191"/>
      <c r="P7" s="192"/>
    </row>
    <row r="8" spans="1:245" ht="11.25" customHeight="1">
      <c r="A8" s="39" t="s">
        <v>5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141</v>
      </c>
      <c r="I8" s="82" t="s">
        <v>13</v>
      </c>
      <c r="J8" s="81" t="s">
        <v>4</v>
      </c>
      <c r="K8" s="82" t="s">
        <v>13</v>
      </c>
      <c r="L8" s="48" t="s">
        <v>15</v>
      </c>
      <c r="M8" s="39" t="s">
        <v>16</v>
      </c>
      <c r="N8" s="192" t="s">
        <v>17</v>
      </c>
      <c r="O8" s="193" t="s">
        <v>5</v>
      </c>
    </row>
    <row r="9" spans="1:245" s="92" customFormat="1" ht="16.350000000000001" customHeight="1">
      <c r="A9" s="194">
        <v>1</v>
      </c>
      <c r="B9" s="195"/>
      <c r="C9" s="53"/>
      <c r="D9" s="54"/>
      <c r="E9" s="55"/>
      <c r="F9" s="56"/>
      <c r="G9" s="85" t="str">
        <f>IF(ISBLANK(H9),"",TRUNC(24.9*(H9-14)^2))</f>
        <v/>
      </c>
      <c r="H9" s="60"/>
      <c r="I9" s="196"/>
      <c r="J9" s="197"/>
      <c r="K9" s="196"/>
      <c r="L9" s="198" t="str">
        <f>IF(ISBLANK(H9),"",IF(H9&gt;9.04,"",IF(H9&lt;=7.25,"TSM",IF(H9&lt;=7.45,"SM",IF(H9&lt;=7.7,"KSM",IF(H9&lt;=8,"I A",IF(H9&lt;=8.44,"II A",IF(H9&lt;=9.04,"III A"))))))))</f>
        <v/>
      </c>
      <c r="M9" s="61"/>
      <c r="N9" s="199"/>
      <c r="O9" s="193">
        <v>1</v>
      </c>
      <c r="P9" s="200">
        <v>2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</row>
    <row r="10" spans="1:245" s="92" customFormat="1" ht="16.350000000000001" customHeight="1">
      <c r="A10" s="194">
        <v>2</v>
      </c>
      <c r="B10" s="195">
        <v>107</v>
      </c>
      <c r="C10" s="53" t="s">
        <v>142</v>
      </c>
      <c r="D10" s="54" t="s">
        <v>143</v>
      </c>
      <c r="E10" s="55" t="s">
        <v>144</v>
      </c>
      <c r="F10" s="56" t="s">
        <v>145</v>
      </c>
      <c r="G10" s="85" t="s">
        <v>73</v>
      </c>
      <c r="H10" s="60">
        <v>8.41</v>
      </c>
      <c r="I10" s="196">
        <v>0.36699999999999999</v>
      </c>
      <c r="J10" s="197"/>
      <c r="K10" s="196"/>
      <c r="L10" s="198" t="str">
        <f>IF(ISBLANK(H10),"",IF(H10&gt;9.04,"",IF(H10&lt;=7.25,"TSM",IF(H10&lt;=7.45,"SM",IF(H10&lt;=7.7,"KSM",IF(H10&lt;=8,"I A",IF(H10&lt;=8.44,"II A",IF(H10&lt;=9.04,"III A"))))))))</f>
        <v>II A</v>
      </c>
      <c r="M10" s="61" t="s">
        <v>146</v>
      </c>
      <c r="N10" s="199">
        <v>8.36</v>
      </c>
      <c r="O10" s="193">
        <v>2</v>
      </c>
      <c r="P10" s="200">
        <v>2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</row>
    <row r="11" spans="1:245" s="92" customFormat="1" ht="16.350000000000001" customHeight="1">
      <c r="A11" s="194">
        <v>3</v>
      </c>
      <c r="B11" s="195">
        <v>58</v>
      </c>
      <c r="C11" s="53" t="s">
        <v>147</v>
      </c>
      <c r="D11" s="54" t="s">
        <v>148</v>
      </c>
      <c r="E11" s="55" t="s">
        <v>149</v>
      </c>
      <c r="F11" s="56" t="s">
        <v>59</v>
      </c>
      <c r="G11" s="85">
        <f>IF(ISBLANK(H11),"",TRUNC(24.9*(H11-14)^2))</f>
        <v>857</v>
      </c>
      <c r="H11" s="60">
        <v>8.1300000000000008</v>
      </c>
      <c r="I11" s="196">
        <v>0.189</v>
      </c>
      <c r="J11" s="197"/>
      <c r="K11" s="196"/>
      <c r="L11" s="198" t="str">
        <f>IF(ISBLANK(H11),"",IF(H11&gt;9.04,"",IF(H11&lt;=7.25,"TSM",IF(H11&lt;=7.45,"SM",IF(H11&lt;=7.7,"KSM",IF(H11&lt;=8,"I A",IF(H11&lt;=8.44,"II A",IF(H11&lt;=9.04,"III A"))))))))</f>
        <v>II A</v>
      </c>
      <c r="M11" s="61" t="s">
        <v>150</v>
      </c>
      <c r="N11" s="199">
        <v>8.19</v>
      </c>
      <c r="O11" s="193">
        <v>3</v>
      </c>
      <c r="P11" s="200">
        <v>2</v>
      </c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</row>
    <row r="12" spans="1:245" s="92" customFormat="1" ht="16.350000000000001" customHeight="1">
      <c r="A12" s="194">
        <v>4</v>
      </c>
      <c r="B12" s="195">
        <v>9</v>
      </c>
      <c r="C12" s="53" t="s">
        <v>18</v>
      </c>
      <c r="D12" s="54" t="s">
        <v>151</v>
      </c>
      <c r="E12" s="55" t="s">
        <v>152</v>
      </c>
      <c r="F12" s="56" t="s">
        <v>21</v>
      </c>
      <c r="G12" s="85">
        <f>IF(ISBLANK(H12),"",TRUNC(24.9*(H12-14)^2))</f>
        <v>960</v>
      </c>
      <c r="H12" s="60">
        <v>7.79</v>
      </c>
      <c r="I12" s="196">
        <v>0.13700000000000001</v>
      </c>
      <c r="J12" s="197"/>
      <c r="K12" s="196"/>
      <c r="L12" s="198" t="str">
        <f>IF(ISBLANK(H12),"",IF(H12&gt;9.04,"",IF(H12&lt;=7.25,"TSM",IF(H12&lt;=7.45,"SM",IF(H12&lt;=7.7,"KSM",IF(H12&lt;=8,"I A",IF(H12&lt;=8.44,"II A",IF(H12&lt;=9.04,"III A"))))))))</f>
        <v>I A</v>
      </c>
      <c r="M12" s="61" t="s">
        <v>153</v>
      </c>
      <c r="N12" s="199">
        <v>7.7</v>
      </c>
      <c r="O12" s="193">
        <v>4</v>
      </c>
      <c r="P12" s="200">
        <v>2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</row>
    <row r="13" spans="1:245" s="92" customFormat="1" ht="16.350000000000001" customHeight="1">
      <c r="A13" s="194">
        <v>5</v>
      </c>
      <c r="B13" s="195">
        <v>131</v>
      </c>
      <c r="C13" s="53" t="s">
        <v>154</v>
      </c>
      <c r="D13" s="54" t="s">
        <v>155</v>
      </c>
      <c r="E13" s="55" t="s">
        <v>156</v>
      </c>
      <c r="F13" s="56" t="s">
        <v>117</v>
      </c>
      <c r="G13" s="85">
        <f>IF(ISBLANK(H13),"",TRUNC(24.9*(H13-14)^2))</f>
        <v>645</v>
      </c>
      <c r="H13" s="60">
        <v>8.91</v>
      </c>
      <c r="I13" s="196">
        <v>0.31</v>
      </c>
      <c r="J13" s="197"/>
      <c r="K13" s="196"/>
      <c r="L13" s="198" t="str">
        <f>IF(ISBLANK(H13),"",IF(H13&gt;9.04,"",IF(H13&lt;=7.25,"TSM",IF(H13&lt;=7.45,"SM",IF(H13&lt;=7.7,"KSM",IF(H13&lt;=8,"I A",IF(H13&lt;=8.44,"II A",IF(H13&lt;=9.04,"III A"))))))))</f>
        <v>III A</v>
      </c>
      <c r="M13" s="61" t="s">
        <v>157</v>
      </c>
      <c r="N13" s="199">
        <v>8.85</v>
      </c>
      <c r="O13" s="193">
        <v>5</v>
      </c>
      <c r="P13" s="200">
        <v>2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</row>
    <row r="14" spans="1:245" s="12" customFormat="1" ht="4.5" customHeight="1">
      <c r="C14" s="13"/>
      <c r="E14" s="14"/>
      <c r="F14" s="15"/>
      <c r="G14" s="71"/>
      <c r="H14" s="72"/>
      <c r="I14" s="73"/>
      <c r="J14" s="121"/>
      <c r="K14" s="73"/>
      <c r="L14" s="74"/>
      <c r="M14" s="20"/>
      <c r="N14" s="192"/>
      <c r="O14" s="191"/>
      <c r="P14" s="192"/>
      <c r="R14" s="91"/>
    </row>
    <row r="15" spans="1:245" s="12" customFormat="1" ht="12.75" customHeight="1">
      <c r="C15" s="23"/>
      <c r="D15" s="33">
        <v>2</v>
      </c>
      <c r="E15" s="34" t="s">
        <v>140</v>
      </c>
      <c r="F15" s="35"/>
      <c r="G15" s="71"/>
      <c r="H15" s="72"/>
      <c r="I15" s="73"/>
      <c r="J15" s="121"/>
      <c r="K15" s="73"/>
      <c r="L15" s="74"/>
      <c r="M15" s="20"/>
      <c r="N15" s="192"/>
      <c r="O15" s="191"/>
      <c r="P15" s="192"/>
    </row>
    <row r="16" spans="1:245" s="12" customFormat="1" ht="6" customHeight="1">
      <c r="E16" s="36"/>
      <c r="F16" s="37"/>
      <c r="G16" s="71"/>
      <c r="H16" s="77"/>
      <c r="I16" s="73"/>
      <c r="J16" s="121"/>
      <c r="K16" s="73"/>
      <c r="L16" s="74"/>
      <c r="M16" s="20"/>
      <c r="N16" s="192"/>
      <c r="O16" s="191"/>
      <c r="P16" s="192"/>
    </row>
    <row r="17" spans="1:243" ht="11.25" customHeight="1">
      <c r="A17" s="39" t="s">
        <v>5</v>
      </c>
      <c r="B17" s="39" t="s">
        <v>6</v>
      </c>
      <c r="C17" s="41" t="s">
        <v>7</v>
      </c>
      <c r="D17" s="42" t="s">
        <v>8</v>
      </c>
      <c r="E17" s="80" t="s">
        <v>9</v>
      </c>
      <c r="F17" s="44" t="s">
        <v>10</v>
      </c>
      <c r="G17" s="45" t="s">
        <v>11</v>
      </c>
      <c r="H17" s="81" t="s">
        <v>141</v>
      </c>
      <c r="I17" s="82" t="s">
        <v>13</v>
      </c>
      <c r="J17" s="81" t="s">
        <v>4</v>
      </c>
      <c r="K17" s="82" t="s">
        <v>13</v>
      </c>
      <c r="L17" s="48" t="s">
        <v>15</v>
      </c>
      <c r="M17" s="39" t="s">
        <v>16</v>
      </c>
      <c r="N17" s="192" t="s">
        <v>17</v>
      </c>
      <c r="O17" s="193" t="s">
        <v>5</v>
      </c>
    </row>
    <row r="18" spans="1:243" s="92" customFormat="1" ht="16.350000000000001" customHeight="1">
      <c r="A18" s="194">
        <v>1</v>
      </c>
      <c r="B18" s="195">
        <v>27</v>
      </c>
      <c r="C18" s="53" t="s">
        <v>18</v>
      </c>
      <c r="D18" s="54" t="s">
        <v>158</v>
      </c>
      <c r="E18" s="55" t="s">
        <v>149</v>
      </c>
      <c r="F18" s="56" t="s">
        <v>21</v>
      </c>
      <c r="G18" s="85" t="str">
        <f>IF(ISBLANK(H18),"",TRUNC(24.9*(H18-14)^2))</f>
        <v/>
      </c>
      <c r="H18" s="60"/>
      <c r="I18" s="196"/>
      <c r="J18" s="197"/>
      <c r="K18" s="196"/>
      <c r="L18" s="198" t="str">
        <f>IF(ISBLANK(H18),"",IF(H18&gt;9.04,"",IF(H18&lt;=7.25,"TSM",IF(H18&lt;=7.45,"SM",IF(H18&lt;=7.7,"KSM",IF(H18&lt;=8,"I A",IF(H18&lt;=8.44,"II A",IF(H18&lt;=9.04,"III A"))))))))</f>
        <v/>
      </c>
      <c r="M18" s="61" t="s">
        <v>159</v>
      </c>
      <c r="N18" s="199"/>
      <c r="O18" s="193">
        <v>1</v>
      </c>
      <c r="P18" s="200">
        <v>3</v>
      </c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</row>
    <row r="19" spans="1:243" s="92" customFormat="1" ht="16.350000000000001" customHeight="1">
      <c r="A19" s="194">
        <v>2</v>
      </c>
      <c r="B19" s="195">
        <v>31</v>
      </c>
      <c r="C19" s="53" t="s">
        <v>23</v>
      </c>
      <c r="D19" s="54" t="s">
        <v>24</v>
      </c>
      <c r="E19" s="55" t="s">
        <v>25</v>
      </c>
      <c r="F19" s="56" t="s">
        <v>26</v>
      </c>
      <c r="G19" s="85">
        <f>IF(ISBLANK(H19),"",TRUNC(24.9*(H19-14)^2))</f>
        <v>778</v>
      </c>
      <c r="H19" s="60">
        <v>8.41</v>
      </c>
      <c r="I19" s="196">
        <v>0.155</v>
      </c>
      <c r="J19" s="197"/>
      <c r="K19" s="196"/>
      <c r="L19" s="198" t="str">
        <f>IF(ISBLANK(H19),"",IF(H19&gt;9.04,"",IF(H19&lt;=7.25,"TSM",IF(H19&lt;=7.45,"SM",IF(H19&lt;=7.7,"KSM",IF(H19&lt;=8,"I A",IF(H19&lt;=8.44,"II A",IF(H19&lt;=9.04,"III A"))))))))</f>
        <v>II A</v>
      </c>
      <c r="M19" s="61" t="s">
        <v>27</v>
      </c>
      <c r="N19" s="199">
        <v>8.3699999999999992</v>
      </c>
      <c r="O19" s="193">
        <v>2</v>
      </c>
      <c r="P19" s="200">
        <v>3</v>
      </c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</row>
    <row r="20" spans="1:243" s="92" customFormat="1" ht="16.350000000000001" customHeight="1">
      <c r="A20" s="194">
        <v>3</v>
      </c>
      <c r="B20" s="195">
        <v>37</v>
      </c>
      <c r="C20" s="53" t="s">
        <v>160</v>
      </c>
      <c r="D20" s="54" t="s">
        <v>161</v>
      </c>
      <c r="E20" s="55" t="s">
        <v>162</v>
      </c>
      <c r="F20" s="56" t="s">
        <v>26</v>
      </c>
      <c r="G20" s="85">
        <f>IF(ISBLANK(H20),"",TRUNC(24.9*(H20-14)^2))</f>
        <v>884</v>
      </c>
      <c r="H20" s="60">
        <v>8.0399999999999991</v>
      </c>
      <c r="I20" s="196">
        <v>0.191</v>
      </c>
      <c r="J20" s="197"/>
      <c r="K20" s="196"/>
      <c r="L20" s="198" t="str">
        <f>IF(ISBLANK(H20),"",IF(H20&gt;9.04,"",IF(H20&lt;=7.25,"TSM",IF(H20&lt;=7.45,"SM",IF(H20&lt;=7.7,"KSM",IF(H20&lt;=8,"I A",IF(H20&lt;=8.44,"II A",IF(H20&lt;=9.04,"III A"))))))))</f>
        <v>II A</v>
      </c>
      <c r="M20" s="61" t="s">
        <v>27</v>
      </c>
      <c r="N20" s="199">
        <v>8.0299999999999994</v>
      </c>
      <c r="O20" s="193">
        <v>3</v>
      </c>
      <c r="P20" s="200">
        <v>3</v>
      </c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</row>
    <row r="21" spans="1:243" s="92" customFormat="1" ht="16.350000000000001" customHeight="1">
      <c r="A21" s="194">
        <v>4</v>
      </c>
      <c r="B21" s="195">
        <v>52</v>
      </c>
      <c r="C21" s="53" t="s">
        <v>160</v>
      </c>
      <c r="D21" s="54" t="s">
        <v>163</v>
      </c>
      <c r="E21" s="55" t="s">
        <v>164</v>
      </c>
      <c r="F21" s="56" t="s">
        <v>26</v>
      </c>
      <c r="G21" s="85">
        <f>IF(ISBLANK(H21),"",TRUNC(24.9*(H21-14)^2))</f>
        <v>902</v>
      </c>
      <c r="H21" s="60">
        <v>7.98</v>
      </c>
      <c r="I21" s="196">
        <v>0.17599999999999999</v>
      </c>
      <c r="J21" s="197"/>
      <c r="K21" s="196"/>
      <c r="L21" s="198" t="str">
        <f>IF(ISBLANK(H21),"",IF(H21&gt;9.04,"",IF(H21&lt;=7.25,"TSM",IF(H21&lt;=7.45,"SM",IF(H21&lt;=7.7,"KSM",IF(H21&lt;=8,"I A",IF(H21&lt;=8.44,"II A",IF(H21&lt;=9.04,"III A"))))))))</f>
        <v>I A</v>
      </c>
      <c r="M21" s="61" t="s">
        <v>165</v>
      </c>
      <c r="N21" s="199">
        <v>7.87</v>
      </c>
      <c r="O21" s="193">
        <v>4</v>
      </c>
      <c r="P21" s="200">
        <v>3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</row>
    <row r="22" spans="1:243" s="92" customFormat="1" ht="16.350000000000001" customHeight="1">
      <c r="A22" s="194">
        <v>5</v>
      </c>
      <c r="B22" s="195">
        <v>180</v>
      </c>
      <c r="C22" s="53" t="s">
        <v>166</v>
      </c>
      <c r="D22" s="54" t="s">
        <v>167</v>
      </c>
      <c r="E22" s="55" t="s">
        <v>168</v>
      </c>
      <c r="F22" s="56" t="s">
        <v>117</v>
      </c>
      <c r="G22" s="85">
        <f>IF(ISBLANK(H22),"",TRUNC(24.9*(H22-14)^2))</f>
        <v>702</v>
      </c>
      <c r="H22" s="60">
        <v>8.69</v>
      </c>
      <c r="I22" s="196">
        <v>0.14899999999999999</v>
      </c>
      <c r="J22" s="197"/>
      <c r="K22" s="196"/>
      <c r="L22" s="198" t="str">
        <f>IF(ISBLANK(H22),"",IF(H22&gt;9.04,"",IF(H22&lt;=7.25,"TSM",IF(H22&lt;=7.45,"SM",IF(H22&lt;=7.7,"KSM",IF(H22&lt;=8,"I A",IF(H22&lt;=8.44,"II A",IF(H22&lt;=9.04,"III A"))))))))</f>
        <v>III A</v>
      </c>
      <c r="M22" s="61" t="s">
        <v>169</v>
      </c>
      <c r="N22" s="199">
        <v>8.7100000000000009</v>
      </c>
      <c r="O22" s="193">
        <v>5</v>
      </c>
      <c r="P22" s="200">
        <v>3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</row>
    <row r="23" spans="1:243" s="12" customFormat="1" ht="4.5" customHeight="1">
      <c r="C23" s="13"/>
      <c r="E23" s="14"/>
      <c r="F23" s="15"/>
      <c r="G23" s="71"/>
      <c r="H23" s="72"/>
      <c r="I23" s="73"/>
      <c r="J23" s="121"/>
      <c r="K23" s="73"/>
      <c r="L23" s="74"/>
      <c r="M23" s="20"/>
      <c r="N23" s="192"/>
      <c r="O23" s="191"/>
      <c r="P23" s="192"/>
      <c r="S23" s="91"/>
    </row>
    <row r="24" spans="1:243" s="12" customFormat="1" ht="12.75" customHeight="1">
      <c r="C24" s="23"/>
      <c r="D24" s="33">
        <v>3</v>
      </c>
      <c r="E24" s="34" t="s">
        <v>140</v>
      </c>
      <c r="F24" s="35"/>
      <c r="G24" s="71"/>
      <c r="H24" s="72"/>
      <c r="I24" s="73"/>
      <c r="J24" s="121"/>
      <c r="K24" s="73"/>
      <c r="L24" s="74"/>
      <c r="M24" s="20"/>
      <c r="N24" s="192"/>
      <c r="O24" s="191"/>
      <c r="P24" s="192"/>
    </row>
    <row r="25" spans="1:243" s="12" customFormat="1" ht="6" customHeight="1">
      <c r="E25" s="36"/>
      <c r="F25" s="37"/>
      <c r="G25" s="71"/>
      <c r="H25" s="77"/>
      <c r="I25" s="73"/>
      <c r="J25" s="121"/>
      <c r="K25" s="73"/>
      <c r="L25" s="74"/>
      <c r="M25" s="20"/>
      <c r="N25" s="192"/>
      <c r="O25" s="191"/>
      <c r="P25" s="192"/>
    </row>
    <row r="26" spans="1:243" ht="11.25" customHeight="1">
      <c r="A26" s="39" t="s">
        <v>5</v>
      </c>
      <c r="B26" s="39" t="s">
        <v>6</v>
      </c>
      <c r="C26" s="41" t="s">
        <v>7</v>
      </c>
      <c r="D26" s="42" t="s">
        <v>8</v>
      </c>
      <c r="E26" s="80" t="s">
        <v>9</v>
      </c>
      <c r="F26" s="44" t="s">
        <v>10</v>
      </c>
      <c r="G26" s="45" t="s">
        <v>11</v>
      </c>
      <c r="H26" s="81" t="s">
        <v>141</v>
      </c>
      <c r="I26" s="82" t="s">
        <v>13</v>
      </c>
      <c r="J26" s="81" t="s">
        <v>4</v>
      </c>
      <c r="K26" s="82" t="s">
        <v>13</v>
      </c>
      <c r="L26" s="48" t="s">
        <v>15</v>
      </c>
      <c r="M26" s="39" t="s">
        <v>16</v>
      </c>
      <c r="N26" s="192" t="s">
        <v>17</v>
      </c>
      <c r="O26" s="193" t="s">
        <v>5</v>
      </c>
    </row>
    <row r="27" spans="1:243" s="92" customFormat="1" ht="16.350000000000001" customHeight="1">
      <c r="A27" s="194">
        <v>1</v>
      </c>
      <c r="B27" s="195">
        <v>136</v>
      </c>
      <c r="C27" s="53" t="s">
        <v>166</v>
      </c>
      <c r="D27" s="54" t="s">
        <v>170</v>
      </c>
      <c r="E27" s="55" t="s">
        <v>171</v>
      </c>
      <c r="F27" s="56" t="s">
        <v>172</v>
      </c>
      <c r="G27" s="85">
        <f>IF(ISBLANK(H27),"",TRUNC(24.9*(H27-14)^2))</f>
        <v>380</v>
      </c>
      <c r="H27" s="60">
        <v>10.09</v>
      </c>
      <c r="I27" s="196" t="s">
        <v>173</v>
      </c>
      <c r="J27" s="197"/>
      <c r="K27" s="196"/>
      <c r="L27" s="198" t="str">
        <f>IF(ISBLANK(H27),"",IF(H27&gt;9.04,"",IF(H27&lt;=7.25,"TSM",IF(H27&lt;=7.45,"SM",IF(H27&lt;=7.7,"KSM",IF(H27&lt;=8,"I A",IF(H27&lt;=8.44,"II A",IF(H27&lt;=9.04,"III A"))))))))</f>
        <v/>
      </c>
      <c r="M27" s="61" t="s">
        <v>174</v>
      </c>
      <c r="N27" s="199"/>
      <c r="O27" s="193">
        <v>1</v>
      </c>
      <c r="P27" s="200">
        <v>1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</row>
    <row r="28" spans="1:243" s="92" customFormat="1" ht="16.350000000000001" customHeight="1">
      <c r="A28" s="194">
        <v>2</v>
      </c>
      <c r="B28" s="195">
        <v>33</v>
      </c>
      <c r="C28" s="53" t="s">
        <v>175</v>
      </c>
      <c r="D28" s="54" t="s">
        <v>176</v>
      </c>
      <c r="E28" s="55" t="s">
        <v>177</v>
      </c>
      <c r="F28" s="56" t="s">
        <v>26</v>
      </c>
      <c r="G28" s="85">
        <f>IF(ISBLANK(H28),"",TRUNC(24.9*(H28-14)^2))</f>
        <v>792</v>
      </c>
      <c r="H28" s="60">
        <v>8.36</v>
      </c>
      <c r="I28" s="196">
        <v>0.32</v>
      </c>
      <c r="J28" s="197"/>
      <c r="K28" s="196"/>
      <c r="L28" s="198" t="str">
        <f>IF(ISBLANK(H28),"",IF(H28&gt;9.04,"",IF(H28&lt;=7.25,"TSM",IF(H28&lt;=7.45,"SM",IF(H28&lt;=7.7,"KSM",IF(H28&lt;=8,"I A",IF(H28&lt;=8.44,"II A",IF(H28&lt;=9.04,"III A"))))))))</f>
        <v>II A</v>
      </c>
      <c r="M28" s="61" t="s">
        <v>27</v>
      </c>
      <c r="N28" s="199">
        <v>8.35</v>
      </c>
      <c r="O28" s="193">
        <v>2</v>
      </c>
      <c r="P28" s="200">
        <v>1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</row>
    <row r="29" spans="1:243" s="92" customFormat="1" ht="16.350000000000001" customHeight="1">
      <c r="A29" s="194">
        <v>3</v>
      </c>
      <c r="B29" s="195">
        <v>2</v>
      </c>
      <c r="C29" s="53" t="s">
        <v>178</v>
      </c>
      <c r="D29" s="54" t="s">
        <v>179</v>
      </c>
      <c r="E29" s="55" t="s">
        <v>180</v>
      </c>
      <c r="F29" s="56" t="s">
        <v>21</v>
      </c>
      <c r="G29" s="85">
        <f>IF(ISBLANK(H29),"",TRUNC(24.9*(H29-14)^2))</f>
        <v>846</v>
      </c>
      <c r="H29" s="60">
        <v>8.17</v>
      </c>
      <c r="I29" s="196">
        <v>0.21</v>
      </c>
      <c r="J29" s="197"/>
      <c r="K29" s="196"/>
      <c r="L29" s="198" t="str">
        <f>IF(ISBLANK(H29),"",IF(H29&gt;9.04,"",IF(H29&lt;=7.25,"TSM",IF(H29&lt;=7.45,"SM",IF(H29&lt;=7.7,"KSM",IF(H29&lt;=8,"I A",IF(H29&lt;=8.44,"II A",IF(H29&lt;=9.04,"III A"))))))))</f>
        <v>II A</v>
      </c>
      <c r="M29" s="61" t="s">
        <v>181</v>
      </c>
      <c r="N29" s="199">
        <v>8.23</v>
      </c>
      <c r="O29" s="193">
        <v>3</v>
      </c>
      <c r="P29" s="200">
        <v>1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</row>
    <row r="30" spans="1:243" s="92" customFormat="1" ht="16.350000000000001" customHeight="1">
      <c r="A30" s="194">
        <v>4</v>
      </c>
      <c r="B30" s="195">
        <v>26</v>
      </c>
      <c r="C30" s="53" t="s">
        <v>182</v>
      </c>
      <c r="D30" s="54" t="s">
        <v>183</v>
      </c>
      <c r="E30" s="55" t="s">
        <v>184</v>
      </c>
      <c r="F30" s="56" t="s">
        <v>26</v>
      </c>
      <c r="G30" s="85">
        <f>IF(ISBLANK(H30),"",TRUNC(24.9*(H30-14)^2))</f>
        <v>969</v>
      </c>
      <c r="H30" s="60">
        <v>7.76</v>
      </c>
      <c r="I30" s="196">
        <v>0.19900000000000001</v>
      </c>
      <c r="J30" s="197"/>
      <c r="K30" s="196"/>
      <c r="L30" s="198" t="str">
        <f>IF(ISBLANK(H30),"",IF(H30&gt;9.04,"",IF(H30&lt;=7.25,"TSM",IF(H30&lt;=7.45,"SM",IF(H30&lt;=7.7,"KSM",IF(H30&lt;=8,"I A",IF(H30&lt;=8.44,"II A",IF(H30&lt;=9.04,"III A"))))))))</f>
        <v>I A</v>
      </c>
      <c r="M30" s="61" t="s">
        <v>100</v>
      </c>
      <c r="N30" s="199">
        <v>7.52</v>
      </c>
      <c r="O30" s="193">
        <v>4</v>
      </c>
      <c r="P30" s="200">
        <v>1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</row>
    <row r="31" spans="1:243" s="92" customFormat="1" ht="16.350000000000001" customHeight="1">
      <c r="A31" s="194">
        <v>5</v>
      </c>
      <c r="B31" s="195">
        <v>34</v>
      </c>
      <c r="C31" s="53" t="s">
        <v>185</v>
      </c>
      <c r="D31" s="54" t="s">
        <v>186</v>
      </c>
      <c r="E31" s="55" t="s">
        <v>187</v>
      </c>
      <c r="F31" s="56" t="s">
        <v>21</v>
      </c>
      <c r="G31" s="85">
        <f>IF(ISBLANK(H31),"",TRUNC(24.9*(H31-14)^2))</f>
        <v>831</v>
      </c>
      <c r="H31" s="60">
        <v>8.2200000000000006</v>
      </c>
      <c r="I31" s="196">
        <v>0.39200000000000002</v>
      </c>
      <c r="J31" s="197"/>
      <c r="K31" s="196"/>
      <c r="L31" s="198" t="str">
        <f>IF(ISBLANK(H31),"",IF(H31&gt;9.04,"",IF(H31&lt;=7.25,"TSM",IF(H31&lt;=7.45,"SM",IF(H31&lt;=7.7,"KSM",IF(H31&lt;=8,"I A",IF(H31&lt;=8.44,"II A",IF(H31&lt;=9.04,"III A"))))))))</f>
        <v>II A</v>
      </c>
      <c r="M31" s="61" t="s">
        <v>188</v>
      </c>
      <c r="N31" s="199">
        <v>8.35</v>
      </c>
      <c r="O31" s="193">
        <v>5</v>
      </c>
      <c r="P31" s="200">
        <v>1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</row>
    <row r="32" spans="1:243" s="12" customFormat="1" ht="4.5" customHeight="1">
      <c r="C32" s="13"/>
      <c r="E32" s="14"/>
      <c r="F32" s="15"/>
      <c r="G32" s="71"/>
      <c r="H32" s="72"/>
      <c r="I32" s="73"/>
      <c r="J32" s="121"/>
      <c r="K32" s="73"/>
      <c r="L32" s="74"/>
      <c r="M32" s="20"/>
      <c r="N32" s="192"/>
      <c r="O32" s="191"/>
      <c r="P32" s="192"/>
    </row>
    <row r="33" spans="1:243" s="12" customFormat="1" ht="12.75" customHeight="1">
      <c r="C33" s="23"/>
      <c r="D33" s="33">
        <v>4</v>
      </c>
      <c r="E33" s="34" t="s">
        <v>140</v>
      </c>
      <c r="F33" s="35"/>
      <c r="G33" s="71"/>
      <c r="H33" s="72"/>
      <c r="I33" s="73"/>
      <c r="J33" s="121"/>
      <c r="K33" s="73"/>
      <c r="L33" s="74"/>
      <c r="M33" s="20"/>
      <c r="N33" s="192"/>
      <c r="O33" s="191"/>
      <c r="P33" s="192"/>
    </row>
    <row r="34" spans="1:243" s="12" customFormat="1" ht="6" customHeight="1">
      <c r="E34" s="36"/>
      <c r="F34" s="37"/>
      <c r="G34" s="71"/>
      <c r="H34" s="77"/>
      <c r="I34" s="73"/>
      <c r="J34" s="121"/>
      <c r="K34" s="73"/>
      <c r="L34" s="74"/>
      <c r="M34" s="20"/>
      <c r="N34" s="192"/>
      <c r="O34" s="191"/>
      <c r="P34" s="192"/>
    </row>
    <row r="35" spans="1:243" ht="11.25" customHeight="1">
      <c r="A35" s="39" t="s">
        <v>5</v>
      </c>
      <c r="B35" s="39" t="s">
        <v>6</v>
      </c>
      <c r="C35" s="41" t="s">
        <v>7</v>
      </c>
      <c r="D35" s="42" t="s">
        <v>8</v>
      </c>
      <c r="E35" s="80" t="s">
        <v>9</v>
      </c>
      <c r="F35" s="44" t="s">
        <v>10</v>
      </c>
      <c r="G35" s="45" t="s">
        <v>11</v>
      </c>
      <c r="H35" s="81" t="s">
        <v>141</v>
      </c>
      <c r="I35" s="82" t="s">
        <v>13</v>
      </c>
      <c r="J35" s="81" t="s">
        <v>4</v>
      </c>
      <c r="K35" s="82" t="s">
        <v>13</v>
      </c>
      <c r="L35" s="48" t="s">
        <v>15</v>
      </c>
      <c r="M35" s="39" t="s">
        <v>16</v>
      </c>
      <c r="N35" s="192" t="s">
        <v>17</v>
      </c>
      <c r="O35" s="193" t="s">
        <v>5</v>
      </c>
    </row>
    <row r="36" spans="1:243" s="92" customFormat="1" ht="16.350000000000001" customHeight="1">
      <c r="A36" s="194">
        <v>1</v>
      </c>
      <c r="B36" s="195"/>
      <c r="C36" s="53"/>
      <c r="D36" s="54"/>
      <c r="E36" s="55"/>
      <c r="F36" s="56"/>
      <c r="G36" s="85" t="str">
        <f>IF(ISBLANK(H36),"",TRUNC(24.9*(H36-14)^2))</f>
        <v/>
      </c>
      <c r="H36" s="60"/>
      <c r="I36" s="196"/>
      <c r="J36" s="197"/>
      <c r="K36" s="196"/>
      <c r="L36" s="198" t="str">
        <f>IF(ISBLANK(H36),"",IF(H36&gt;9.04,"",IF(H36&lt;=7.25,"TSM",IF(H36&lt;=7.45,"SM",IF(H36&lt;=7.7,"KSM",IF(H36&lt;=8,"I A",IF(H36&lt;=8.44,"II A",IF(H36&lt;=9.04,"III A"))))))))</f>
        <v/>
      </c>
      <c r="M36" s="61"/>
      <c r="N36" s="199"/>
      <c r="O36" s="193">
        <v>1</v>
      </c>
      <c r="P36" s="200">
        <v>4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</row>
    <row r="37" spans="1:243" s="92" customFormat="1" ht="16.350000000000001" customHeight="1">
      <c r="A37" s="194">
        <v>2</v>
      </c>
      <c r="B37" s="195">
        <v>142</v>
      </c>
      <c r="C37" s="53" t="s">
        <v>91</v>
      </c>
      <c r="D37" s="54" t="s">
        <v>189</v>
      </c>
      <c r="E37" s="55" t="s">
        <v>190</v>
      </c>
      <c r="F37" s="56" t="s">
        <v>48</v>
      </c>
      <c r="G37" s="85">
        <f>IF(ISBLANK(H37),"",TRUNC(24.9*(H37-14)^2))</f>
        <v>670</v>
      </c>
      <c r="H37" s="60">
        <v>8.81</v>
      </c>
      <c r="I37" s="196">
        <v>0.34200000000000003</v>
      </c>
      <c r="J37" s="197"/>
      <c r="K37" s="196"/>
      <c r="L37" s="198" t="str">
        <f>IF(ISBLANK(H37),"",IF(H37&gt;9.04,"",IF(H37&lt;=7.25,"TSM",IF(H37&lt;=7.45,"SM",IF(H37&lt;=7.7,"KSM",IF(H37&lt;=8,"I A",IF(H37&lt;=8.44,"II A",IF(H37&lt;=9.04,"III A"))))))))</f>
        <v>III A</v>
      </c>
      <c r="M37" s="61" t="s">
        <v>191</v>
      </c>
      <c r="N37" s="199">
        <v>8.68</v>
      </c>
      <c r="O37" s="193">
        <v>2</v>
      </c>
      <c r="P37" s="200">
        <v>4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</row>
    <row r="38" spans="1:243" s="92" customFormat="1" ht="16.350000000000001" customHeight="1">
      <c r="A38" s="194">
        <v>3</v>
      </c>
      <c r="B38" s="195">
        <v>13</v>
      </c>
      <c r="C38" s="53" t="s">
        <v>192</v>
      </c>
      <c r="D38" s="54" t="s">
        <v>193</v>
      </c>
      <c r="E38" s="55" t="s">
        <v>194</v>
      </c>
      <c r="F38" s="56" t="s">
        <v>21</v>
      </c>
      <c r="G38" s="85">
        <f>IF(ISBLANK(H38),"",TRUNC(24.9*(H38-14)^2))</f>
        <v>866</v>
      </c>
      <c r="H38" s="60">
        <v>8.1</v>
      </c>
      <c r="I38" s="196">
        <v>0.21099999999999999</v>
      </c>
      <c r="J38" s="197"/>
      <c r="K38" s="196"/>
      <c r="L38" s="198" t="str">
        <f>IF(ISBLANK(H38),"",IF(H38&gt;9.04,"",IF(H38&lt;=7.25,"TSM",IF(H38&lt;=7.45,"SM",IF(H38&lt;=7.7,"KSM",IF(H38&lt;=8,"I A",IF(H38&lt;=8.44,"II A",IF(H38&lt;=9.04,"III A"))))))))</f>
        <v>II A</v>
      </c>
      <c r="M38" s="61" t="s">
        <v>195</v>
      </c>
      <c r="N38" s="199">
        <v>8.02</v>
      </c>
      <c r="O38" s="193">
        <v>3</v>
      </c>
      <c r="P38" s="200">
        <v>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</row>
    <row r="39" spans="1:243" s="92" customFormat="1" ht="16.350000000000001" customHeight="1">
      <c r="A39" s="194">
        <v>4</v>
      </c>
      <c r="B39" s="195">
        <v>25</v>
      </c>
      <c r="C39" s="53" t="s">
        <v>196</v>
      </c>
      <c r="D39" s="54" t="s">
        <v>197</v>
      </c>
      <c r="E39" s="55" t="s">
        <v>198</v>
      </c>
      <c r="F39" s="56" t="s">
        <v>26</v>
      </c>
      <c r="G39" s="85">
        <f>IF(ISBLANK(H39),"",TRUNC(24.9*(H39-14)^2))</f>
        <v>905</v>
      </c>
      <c r="H39" s="60">
        <v>7.97</v>
      </c>
      <c r="I39" s="196">
        <v>0.192</v>
      </c>
      <c r="J39" s="197"/>
      <c r="K39" s="196"/>
      <c r="L39" s="198" t="str">
        <f>IF(ISBLANK(H39),"",IF(H39&gt;9.04,"",IF(H39&lt;=7.25,"TSM",IF(H39&lt;=7.45,"SM",IF(H39&lt;=7.7,"KSM",IF(H39&lt;=8,"I A",IF(H39&lt;=8.44,"II A",IF(H39&lt;=9.04,"III A"))))))))</f>
        <v>I A</v>
      </c>
      <c r="M39" s="61" t="s">
        <v>199</v>
      </c>
      <c r="N39" s="199">
        <v>7.92</v>
      </c>
      <c r="O39" s="193">
        <v>4</v>
      </c>
      <c r="P39" s="200">
        <v>4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</row>
    <row r="40" spans="1:243" s="92" customFormat="1" ht="16.350000000000001" customHeight="1">
      <c r="A40" s="194">
        <v>5</v>
      </c>
      <c r="B40" s="195">
        <v>16</v>
      </c>
      <c r="C40" s="53" t="s">
        <v>200</v>
      </c>
      <c r="D40" s="54" t="s">
        <v>201</v>
      </c>
      <c r="E40" s="55" t="s">
        <v>202</v>
      </c>
      <c r="F40" s="56" t="s">
        <v>21</v>
      </c>
      <c r="G40" s="85">
        <f>IF(ISBLANK(H40),"",TRUNC(24.9*(H40-14)^2))</f>
        <v>632</v>
      </c>
      <c r="H40" s="60">
        <v>8.9600000000000009</v>
      </c>
      <c r="I40" s="196">
        <v>0.23699999999999999</v>
      </c>
      <c r="J40" s="197"/>
      <c r="K40" s="196"/>
      <c r="L40" s="198" t="str">
        <f>IF(ISBLANK(H40),"",IF(H40&gt;9.04,"",IF(H40&lt;=7.25,"TSM",IF(H40&lt;=7.45,"SM",IF(H40&lt;=7.7,"KSM",IF(H40&lt;=8,"I A",IF(H40&lt;=8.44,"II A",IF(H40&lt;=9.04,"III A"))))))))</f>
        <v>III A</v>
      </c>
      <c r="M40" s="61" t="s">
        <v>203</v>
      </c>
      <c r="N40" s="199">
        <v>9.02</v>
      </c>
      <c r="O40" s="193">
        <v>5</v>
      </c>
      <c r="P40" s="200">
        <v>1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</row>
  </sheetData>
  <phoneticPr fontId="0" type="noConversion"/>
  <printOptions horizontalCentered="1"/>
  <pageMargins left="0.9237007874015748" right="0.39370078740157483" top="0.39370078740157483" bottom="0.19685039370078741" header="0.51181102362204722" footer="0.51181102362204722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IK13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customWidth="1"/>
    <col min="9" max="9" width="5.140625" style="67" customWidth="1"/>
    <col min="10" max="10" width="9" style="66" hidden="1" customWidth="1"/>
    <col min="11" max="11" width="5.140625" style="67" hidden="1" customWidth="1"/>
    <col min="12" max="12" width="5.140625" style="28" customWidth="1"/>
    <col min="13" max="13" width="19.28515625" style="23" customWidth="1"/>
    <col min="14" max="14" width="6.7109375" style="75" hidden="1" customWidth="1"/>
    <col min="15" max="15" width="5.28515625" style="76" hidden="1" customWidth="1"/>
    <col min="16" max="244" width="9.140625" style="23"/>
    <col min="245" max="16384" width="9.140625" style="70"/>
  </cols>
  <sheetData>
    <row r="1" spans="1:245" s="2" customFormat="1" ht="18.75">
      <c r="A1" s="1" t="s">
        <v>0</v>
      </c>
      <c r="E1" s="3"/>
      <c r="F1" s="4"/>
      <c r="G1" s="5"/>
      <c r="H1" s="66"/>
      <c r="I1" s="67"/>
      <c r="J1" s="66"/>
      <c r="K1" s="67"/>
      <c r="L1" s="3"/>
      <c r="N1" s="68"/>
      <c r="O1" s="69"/>
      <c r="IK1" s="70"/>
    </row>
    <row r="2" spans="1:245" s="2" customFormat="1" ht="13.5" customHeight="1">
      <c r="E2" s="3"/>
      <c r="F2" s="4"/>
      <c r="G2" s="5"/>
      <c r="H2" s="66"/>
      <c r="I2" s="67"/>
      <c r="J2" s="66"/>
      <c r="K2" s="67"/>
      <c r="L2" s="3"/>
      <c r="M2" s="11" t="s">
        <v>1</v>
      </c>
      <c r="N2" s="68"/>
      <c r="O2" s="69"/>
      <c r="IK2" s="70"/>
    </row>
    <row r="3" spans="1:245" s="12" customFormat="1" ht="4.5" customHeight="1">
      <c r="C3" s="13"/>
      <c r="E3" s="14"/>
      <c r="F3" s="15"/>
      <c r="G3" s="71"/>
      <c r="H3" s="72"/>
      <c r="I3" s="73"/>
      <c r="J3" s="72"/>
      <c r="K3" s="73"/>
      <c r="L3" s="74"/>
      <c r="M3" s="20"/>
      <c r="N3" s="75"/>
      <c r="O3" s="76"/>
    </row>
    <row r="4" spans="1:245" ht="15.75">
      <c r="C4" s="24" t="s">
        <v>44</v>
      </c>
      <c r="E4" s="25"/>
      <c r="F4" s="26"/>
      <c r="M4" s="29" t="s">
        <v>3</v>
      </c>
    </row>
    <row r="5" spans="1:245" s="12" customFormat="1" ht="4.5" customHeight="1">
      <c r="C5" s="13"/>
      <c r="E5" s="14"/>
      <c r="F5" s="15"/>
      <c r="G5" s="71"/>
      <c r="H5" s="72"/>
      <c r="I5" s="73"/>
      <c r="J5" s="72"/>
      <c r="K5" s="73"/>
      <c r="L5" s="74"/>
      <c r="M5" s="20"/>
      <c r="N5" s="75"/>
      <c r="O5" s="76"/>
    </row>
    <row r="6" spans="1:245" s="12" customFormat="1" ht="12.75" customHeight="1">
      <c r="C6" s="23"/>
      <c r="D6" s="33" t="s">
        <v>4</v>
      </c>
      <c r="E6" s="34"/>
      <c r="F6" s="35"/>
      <c r="G6" s="71"/>
      <c r="H6" s="72"/>
      <c r="I6" s="73"/>
      <c r="J6" s="72"/>
      <c r="K6" s="73"/>
      <c r="L6" s="74"/>
      <c r="M6" s="20"/>
      <c r="N6" s="75"/>
      <c r="O6" s="76"/>
    </row>
    <row r="7" spans="1:245" s="12" customFormat="1" ht="6" customHeight="1">
      <c r="E7" s="36"/>
      <c r="F7" s="37"/>
      <c r="G7" s="71"/>
      <c r="H7" s="77"/>
      <c r="I7" s="73"/>
      <c r="J7" s="77"/>
      <c r="K7" s="73"/>
      <c r="L7" s="74"/>
      <c r="M7" s="20"/>
      <c r="N7" s="75"/>
      <c r="O7" s="76"/>
    </row>
    <row r="8" spans="1:245" ht="11.25" customHeight="1">
      <c r="A8" s="39" t="s">
        <v>43</v>
      </c>
      <c r="B8" s="39" t="s">
        <v>6</v>
      </c>
      <c r="C8" s="78" t="s">
        <v>7</v>
      </c>
      <c r="D8" s="79" t="s">
        <v>8</v>
      </c>
      <c r="E8" s="80" t="s">
        <v>9</v>
      </c>
      <c r="F8" s="44" t="s">
        <v>10</v>
      </c>
      <c r="G8" s="45" t="s">
        <v>11</v>
      </c>
      <c r="H8" s="81" t="s">
        <v>4</v>
      </c>
      <c r="I8" s="82" t="s">
        <v>13</v>
      </c>
      <c r="J8" s="81" t="s">
        <v>4</v>
      </c>
      <c r="K8" s="82" t="s">
        <v>13</v>
      </c>
      <c r="L8" s="48" t="s">
        <v>15</v>
      </c>
      <c r="M8" s="39" t="s">
        <v>16</v>
      </c>
      <c r="N8" s="75" t="s">
        <v>17</v>
      </c>
      <c r="O8" s="83" t="s">
        <v>5</v>
      </c>
    </row>
    <row r="9" spans="1:245" s="92" customFormat="1" ht="16.350000000000001" customHeight="1">
      <c r="A9" s="51">
        <v>1</v>
      </c>
      <c r="B9" s="52">
        <v>151</v>
      </c>
      <c r="C9" s="53" t="s">
        <v>45</v>
      </c>
      <c r="D9" s="54" t="s">
        <v>46</v>
      </c>
      <c r="E9" s="55" t="s">
        <v>47</v>
      </c>
      <c r="F9" s="84" t="s">
        <v>48</v>
      </c>
      <c r="G9" s="85">
        <f>IF(ISBLANK(H9),"",TRUNC(23.9*((H9)-14.6)^2))</f>
        <v>982</v>
      </c>
      <c r="H9" s="86">
        <v>8.19</v>
      </c>
      <c r="I9" s="87">
        <v>0.14099999999999999</v>
      </c>
      <c r="J9" s="88"/>
      <c r="K9" s="87"/>
      <c r="L9" s="89" t="str">
        <f>IF(ISBLANK(H9),"",IF(H9&gt;10.4,"",IF(H9&lt;=7.75,"TSM",IF(H9&lt;=8.1,"SM",IF(H9&lt;=8.55,"KSM",IF(H9&lt;=9.1,"I A",IF(H9&lt;=9.7,"II A",IF(H9&lt;=10.4,"III A"))))))))</f>
        <v>KSM</v>
      </c>
      <c r="M9" s="61" t="s">
        <v>49</v>
      </c>
      <c r="N9" s="90" t="s">
        <v>50</v>
      </c>
      <c r="O9" s="83">
        <v>3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</row>
    <row r="10" spans="1:245" s="92" customFormat="1" ht="16.350000000000001" customHeight="1">
      <c r="A10" s="51">
        <v>2</v>
      </c>
      <c r="B10" s="52">
        <v>125</v>
      </c>
      <c r="C10" s="53" t="s">
        <v>51</v>
      </c>
      <c r="D10" s="54" t="s">
        <v>52</v>
      </c>
      <c r="E10" s="55" t="s">
        <v>53</v>
      </c>
      <c r="F10" s="84" t="s">
        <v>26</v>
      </c>
      <c r="G10" s="85">
        <f>IF(ISBLANK(H10),"",TRUNC(23.9*((H10)-14.6)^2))</f>
        <v>924</v>
      </c>
      <c r="H10" s="86">
        <v>8.3800000000000008</v>
      </c>
      <c r="I10" s="87">
        <v>0.14299999999999999</v>
      </c>
      <c r="J10" s="88"/>
      <c r="K10" s="87"/>
      <c r="L10" s="89" t="str">
        <f>IF(ISBLANK(H10),"",IF(H10&gt;10.4,"",IF(H10&lt;=7.75,"TSM",IF(H10&lt;=8.1,"SM",IF(H10&lt;=8.55,"KSM",IF(H10&lt;=9.1,"I A",IF(H10&lt;=9.7,"II A",IF(H10&lt;=10.4,"III A"))))))))</f>
        <v>KSM</v>
      </c>
      <c r="M10" s="61" t="s">
        <v>54</v>
      </c>
      <c r="N10" s="90" t="s">
        <v>55</v>
      </c>
      <c r="O10" s="83">
        <v>4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</row>
    <row r="11" spans="1:245" s="92" customFormat="1" ht="16.350000000000001" customHeight="1">
      <c r="A11" s="51">
        <v>3</v>
      </c>
      <c r="B11" s="52">
        <v>51</v>
      </c>
      <c r="C11" s="53" t="s">
        <v>56</v>
      </c>
      <c r="D11" s="54" t="s">
        <v>57</v>
      </c>
      <c r="E11" s="55" t="s">
        <v>58</v>
      </c>
      <c r="F11" s="84" t="s">
        <v>59</v>
      </c>
      <c r="G11" s="85">
        <f>IF(ISBLANK(H11),"",TRUNC(23.9*((H11)-14.6)^2))</f>
        <v>823</v>
      </c>
      <c r="H11" s="86">
        <v>8.73</v>
      </c>
      <c r="I11" s="87">
        <v>0.17599999999999999</v>
      </c>
      <c r="J11" s="88"/>
      <c r="K11" s="87"/>
      <c r="L11" s="89" t="str">
        <f>IF(ISBLANK(H11),"",IF(H11&gt;10.4,"",IF(H11&lt;=7.75,"TSM",IF(H11&lt;=8.1,"SM",IF(H11&lt;=8.55,"KSM",IF(H11&lt;=9.1,"I A",IF(H11&lt;=9.7,"II A",IF(H11&lt;=10.4,"III A"))))))))</f>
        <v>I A</v>
      </c>
      <c r="M11" s="61" t="s">
        <v>22</v>
      </c>
      <c r="N11" s="90" t="s">
        <v>60</v>
      </c>
      <c r="O11" s="83">
        <v>2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</row>
    <row r="12" spans="1:245" s="92" customFormat="1" ht="16.350000000000001" customHeight="1">
      <c r="A12" s="51">
        <v>4</v>
      </c>
      <c r="B12" s="52">
        <v>141</v>
      </c>
      <c r="C12" s="53" t="s">
        <v>61</v>
      </c>
      <c r="D12" s="54" t="s">
        <v>62</v>
      </c>
      <c r="E12" s="55" t="s">
        <v>63</v>
      </c>
      <c r="F12" s="84" t="s">
        <v>48</v>
      </c>
      <c r="G12" s="85">
        <f>IF(ISBLANK(H12),"",TRUNC(23.9*((H12)-14.6)^2))</f>
        <v>765</v>
      </c>
      <c r="H12" s="86">
        <v>8.94</v>
      </c>
      <c r="I12" s="87">
        <v>0.184</v>
      </c>
      <c r="J12" s="88"/>
      <c r="K12" s="87"/>
      <c r="L12" s="89" t="str">
        <f>IF(ISBLANK(H12),"",IF(H12&gt;10.4,"",IF(H12&lt;=7.75,"TSM",IF(H12&lt;=8.1,"SM",IF(H12&lt;=8.55,"KSM",IF(H12&lt;=9.1,"I A",IF(H12&lt;=9.7,"II A",IF(H12&lt;=10.4,"III A"))))))))</f>
        <v>I A</v>
      </c>
      <c r="M12" s="61" t="s">
        <v>64</v>
      </c>
      <c r="N12" s="90" t="s">
        <v>65</v>
      </c>
      <c r="O12" s="83">
        <v>1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</row>
    <row r="13" spans="1:245" s="92" customFormat="1" ht="16.350000000000001" customHeight="1">
      <c r="A13" s="51">
        <v>5</v>
      </c>
      <c r="B13" s="52">
        <v>152</v>
      </c>
      <c r="C13" s="53" t="s">
        <v>66</v>
      </c>
      <c r="D13" s="54" t="s">
        <v>67</v>
      </c>
      <c r="E13" s="55" t="s">
        <v>68</v>
      </c>
      <c r="F13" s="84" t="s">
        <v>48</v>
      </c>
      <c r="G13" s="85">
        <f>IF(ISBLANK(H13),"",TRUNC(23.9*((H13)-14.6)^2))</f>
        <v>676</v>
      </c>
      <c r="H13" s="86">
        <v>9.2799999999999994</v>
      </c>
      <c r="I13" s="87">
        <v>0.126</v>
      </c>
      <c r="J13" s="88"/>
      <c r="K13" s="87"/>
      <c r="L13" s="89" t="str">
        <f>IF(ISBLANK(H13),"",IF(H13&gt;10.4,"",IF(H13&lt;=7.75,"TSM",IF(H13&lt;=8.1,"SM",IF(H13&lt;=8.55,"KSM",IF(H13&lt;=9.1,"I A",IF(H13&lt;=9.7,"II A",IF(H13&lt;=10.4,"III A"))))))))</f>
        <v>II A</v>
      </c>
      <c r="M13" s="61" t="s">
        <v>69</v>
      </c>
      <c r="N13" s="90" t="s">
        <v>70</v>
      </c>
      <c r="O13" s="83">
        <v>5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IM16"/>
  <sheetViews>
    <sheetView zoomScaleNormal="100" workbookViewId="0">
      <selection activeCell="A9" sqref="A9:A12"/>
    </sheetView>
  </sheetViews>
  <sheetFormatPr defaultRowHeight="12.75"/>
  <cols>
    <col min="1" max="2" width="5.7109375" style="12" customWidth="1"/>
    <col min="3" max="3" width="11.140625" style="12" customWidth="1"/>
    <col min="4" max="4" width="15.42578125" style="12" bestFit="1" customWidth="1"/>
    <col min="5" max="5" width="11.42578125" style="404" customWidth="1"/>
    <col min="6" max="6" width="15" style="405" customWidth="1"/>
    <col min="7" max="7" width="10.140625" style="406" customWidth="1"/>
    <col min="8" max="8" width="10.140625" style="407" customWidth="1"/>
    <col min="9" max="9" width="8.140625" style="74" customWidth="1"/>
    <col min="10" max="10" width="9.5703125" style="96" customWidth="1"/>
    <col min="11" max="11" width="35.7109375" style="12" customWidth="1"/>
    <col min="12" max="16384" width="9.140625" style="12"/>
  </cols>
  <sheetData>
    <row r="1" spans="1:247" s="94" customFormat="1" ht="18.75">
      <c r="A1" s="1" t="s">
        <v>0</v>
      </c>
      <c r="E1" s="130"/>
      <c r="F1" s="363"/>
      <c r="G1" s="364"/>
      <c r="H1" s="67"/>
      <c r="I1" s="267"/>
      <c r="J1" s="130"/>
      <c r="L1" s="130"/>
      <c r="IM1" s="12"/>
    </row>
    <row r="2" spans="1:247" s="94" customFormat="1" ht="13.5" customHeight="1">
      <c r="E2" s="130"/>
      <c r="F2" s="363"/>
      <c r="G2" s="364"/>
      <c r="H2" s="67"/>
      <c r="I2" s="267"/>
      <c r="J2" s="130"/>
      <c r="K2" s="11" t="s">
        <v>1</v>
      </c>
      <c r="L2" s="130"/>
      <c r="IM2" s="12"/>
    </row>
    <row r="3" spans="1:247" ht="4.5" customHeight="1">
      <c r="C3" s="13"/>
      <c r="E3" s="365">
        <v>1.1574074074074073E-5</v>
      </c>
      <c r="F3" s="209"/>
      <c r="G3" s="97"/>
      <c r="H3" s="121"/>
      <c r="I3" s="267"/>
      <c r="J3" s="121"/>
      <c r="K3" s="20"/>
      <c r="L3" s="74"/>
      <c r="M3" s="210"/>
      <c r="N3" s="20"/>
    </row>
    <row r="4" spans="1:247" ht="15.75">
      <c r="C4" s="13" t="s">
        <v>627</v>
      </c>
      <c r="E4" s="14"/>
      <c r="F4" s="15"/>
      <c r="G4" s="364"/>
      <c r="H4" s="67"/>
      <c r="I4" s="267"/>
      <c r="J4" s="267"/>
      <c r="K4" s="29" t="s">
        <v>3</v>
      </c>
      <c r="L4" s="267"/>
    </row>
    <row r="5" spans="1:247" ht="4.5" customHeight="1">
      <c r="C5" s="13"/>
      <c r="E5" s="209"/>
      <c r="F5" s="209"/>
      <c r="G5" s="97"/>
      <c r="H5" s="121"/>
      <c r="I5" s="267"/>
      <c r="J5" s="121"/>
      <c r="K5" s="267"/>
      <c r="L5" s="74"/>
      <c r="M5" s="210"/>
      <c r="N5" s="20"/>
    </row>
    <row r="6" spans="1:247" ht="12" customHeight="1">
      <c r="C6" s="13"/>
      <c r="D6" s="366"/>
      <c r="E6" s="367"/>
      <c r="F6" s="368"/>
      <c r="G6" s="97"/>
      <c r="H6" s="121"/>
      <c r="I6" s="267"/>
      <c r="J6" s="121"/>
      <c r="K6" s="267"/>
      <c r="L6" s="74"/>
      <c r="M6" s="210"/>
      <c r="N6" s="20"/>
    </row>
    <row r="7" spans="1:247" ht="6" customHeight="1" thickBot="1">
      <c r="D7" s="33"/>
      <c r="E7" s="369"/>
      <c r="F7" s="370"/>
      <c r="G7" s="97"/>
      <c r="H7" s="121"/>
      <c r="I7" s="267"/>
      <c r="J7" s="121"/>
      <c r="K7" s="267"/>
      <c r="L7" s="74"/>
      <c r="M7" s="210"/>
      <c r="N7" s="20"/>
    </row>
    <row r="8" spans="1:247" s="210" customFormat="1" ht="12" thickBot="1">
      <c r="A8" s="371" t="s">
        <v>43</v>
      </c>
      <c r="B8" s="372" t="s">
        <v>6</v>
      </c>
      <c r="C8" s="373" t="s">
        <v>7</v>
      </c>
      <c r="D8" s="374" t="s">
        <v>8</v>
      </c>
      <c r="E8" s="375" t="s">
        <v>9</v>
      </c>
      <c r="F8" s="376" t="s">
        <v>10</v>
      </c>
      <c r="G8" s="377" t="s">
        <v>11</v>
      </c>
      <c r="H8" s="378" t="s">
        <v>12</v>
      </c>
      <c r="I8" s="379" t="s">
        <v>13</v>
      </c>
      <c r="J8" s="379" t="s">
        <v>15</v>
      </c>
      <c r="K8" s="380" t="s">
        <v>16</v>
      </c>
    </row>
    <row r="9" spans="1:247" ht="18" customHeight="1">
      <c r="A9" s="480">
        <v>1</v>
      </c>
      <c r="B9" s="381">
        <v>34</v>
      </c>
      <c r="C9" s="382" t="s">
        <v>185</v>
      </c>
      <c r="D9" s="383" t="s">
        <v>186</v>
      </c>
      <c r="E9" s="384" t="s">
        <v>187</v>
      </c>
      <c r="F9" s="385" t="s">
        <v>21</v>
      </c>
      <c r="G9" s="476">
        <f>IF(ISBLANK(H9),"",TRUNC(0.0826*((H9/$E$3)-212)^2))</f>
        <v>843</v>
      </c>
      <c r="H9" s="484">
        <v>1.283912037037037E-3</v>
      </c>
      <c r="I9" s="487"/>
      <c r="J9" s="476" t="str">
        <f>IF(ISBLANK(H9),"",IF(H9&lt;=0.00118055555555556,"KSM",IF(H9&lt;=0.00124421296296296,"I A",IF(H9&lt;=0.00133101851851852,"II A",IF(H9&lt;=0.00144675925925926,"III A",IF(H9&lt;=0.00155092592592593,"I JA",IF(H9&lt;=0.00163194444444444,"II JA",IF(H9&lt;=0.00170138888888889,"III JA",))))))))</f>
        <v>II A</v>
      </c>
      <c r="K9" s="386" t="s">
        <v>188</v>
      </c>
    </row>
    <row r="10" spans="1:247" ht="18" customHeight="1">
      <c r="A10" s="481"/>
      <c r="B10" s="387">
        <v>13</v>
      </c>
      <c r="C10" s="388" t="s">
        <v>192</v>
      </c>
      <c r="D10" s="389" t="s">
        <v>193</v>
      </c>
      <c r="E10" s="390" t="s">
        <v>194</v>
      </c>
      <c r="F10" s="391" t="s">
        <v>21</v>
      </c>
      <c r="G10" s="483"/>
      <c r="H10" s="485"/>
      <c r="I10" s="488"/>
      <c r="J10" s="477"/>
      <c r="K10" s="392" t="s">
        <v>195</v>
      </c>
    </row>
    <row r="11" spans="1:247" ht="18" customHeight="1">
      <c r="A11" s="481"/>
      <c r="B11" s="393">
        <v>12</v>
      </c>
      <c r="C11" s="394" t="s">
        <v>18</v>
      </c>
      <c r="D11" s="395" t="s">
        <v>19</v>
      </c>
      <c r="E11" s="396" t="s">
        <v>20</v>
      </c>
      <c r="F11" s="391" t="s">
        <v>21</v>
      </c>
      <c r="G11" s="483"/>
      <c r="H11" s="485"/>
      <c r="I11" s="488"/>
      <c r="J11" s="478"/>
      <c r="K11" s="397" t="s">
        <v>22</v>
      </c>
    </row>
    <row r="12" spans="1:247" ht="18" customHeight="1" thickBot="1">
      <c r="A12" s="482"/>
      <c r="B12" s="398">
        <v>14</v>
      </c>
      <c r="C12" s="399" t="s">
        <v>284</v>
      </c>
      <c r="D12" s="400" t="s">
        <v>285</v>
      </c>
      <c r="E12" s="401" t="s">
        <v>286</v>
      </c>
      <c r="F12" s="402" t="s">
        <v>21</v>
      </c>
      <c r="G12" s="479"/>
      <c r="H12" s="486"/>
      <c r="I12" s="489"/>
      <c r="J12" s="479"/>
      <c r="K12" s="403" t="s">
        <v>628</v>
      </c>
    </row>
    <row r="13" spans="1:247" ht="18" customHeight="1">
      <c r="A13" s="480">
        <v>2</v>
      </c>
      <c r="B13" s="381">
        <v>142</v>
      </c>
      <c r="C13" s="382" t="s">
        <v>91</v>
      </c>
      <c r="D13" s="383" t="s">
        <v>189</v>
      </c>
      <c r="E13" s="384" t="s">
        <v>190</v>
      </c>
      <c r="F13" s="385" t="s">
        <v>48</v>
      </c>
      <c r="G13" s="476">
        <f>IF(ISBLANK(H13),"",TRUNC(0.0826*((H13/$E$3)-212)^2))</f>
        <v>822</v>
      </c>
      <c r="H13" s="484">
        <v>1.2987268518518517E-3</v>
      </c>
      <c r="I13" s="487"/>
      <c r="J13" s="476" t="str">
        <f>IF(ISBLANK(H13),"",IF(H13&lt;=0.00118055555555556,"KSM",IF(H13&lt;=0.00124421296296296,"I A",IF(H13&lt;=0.00133101851851852,"II A",IF(H13&lt;=0.00144675925925926,"III A",IF(H13&lt;=0.00155092592592593,"I JA",IF(H13&lt;=0.00163194444444444,"II JA",IF(H13&lt;=0.00170138888888889,"III JA",))))))))</f>
        <v>II A</v>
      </c>
      <c r="K13" s="386" t="s">
        <v>191</v>
      </c>
    </row>
    <row r="14" spans="1:247" ht="18" customHeight="1">
      <c r="A14" s="481"/>
      <c r="B14" s="387">
        <v>153</v>
      </c>
      <c r="C14" s="388" t="s">
        <v>99</v>
      </c>
      <c r="D14" s="389" t="s">
        <v>98</v>
      </c>
      <c r="E14" s="390" t="s">
        <v>97</v>
      </c>
      <c r="F14" s="391" t="s">
        <v>48</v>
      </c>
      <c r="G14" s="483"/>
      <c r="H14" s="485"/>
      <c r="I14" s="488"/>
      <c r="J14" s="477"/>
      <c r="K14" s="392" t="s">
        <v>96</v>
      </c>
    </row>
    <row r="15" spans="1:247" ht="18" customHeight="1">
      <c r="A15" s="481"/>
      <c r="B15" s="393">
        <v>148</v>
      </c>
      <c r="C15" s="394" t="s">
        <v>277</v>
      </c>
      <c r="D15" s="395" t="s">
        <v>276</v>
      </c>
      <c r="E15" s="396" t="s">
        <v>275</v>
      </c>
      <c r="F15" s="391" t="s">
        <v>48</v>
      </c>
      <c r="G15" s="483"/>
      <c r="H15" s="485"/>
      <c r="I15" s="488"/>
      <c r="J15" s="478"/>
      <c r="K15" s="397" t="s">
        <v>191</v>
      </c>
    </row>
    <row r="16" spans="1:247" ht="18" customHeight="1" thickBot="1">
      <c r="A16" s="482"/>
      <c r="B16" s="398">
        <v>158</v>
      </c>
      <c r="C16" s="399" t="s">
        <v>341</v>
      </c>
      <c r="D16" s="400" t="s">
        <v>342</v>
      </c>
      <c r="E16" s="401" t="s">
        <v>343</v>
      </c>
      <c r="F16" s="402" t="s">
        <v>48</v>
      </c>
      <c r="G16" s="479"/>
      <c r="H16" s="486"/>
      <c r="I16" s="489"/>
      <c r="J16" s="479"/>
      <c r="K16" s="403" t="s">
        <v>263</v>
      </c>
    </row>
  </sheetData>
  <mergeCells count="10">
    <mergeCell ref="J9:J12"/>
    <mergeCell ref="A13:A16"/>
    <mergeCell ref="G13:G16"/>
    <mergeCell ref="H13:H16"/>
    <mergeCell ref="I13:I16"/>
    <mergeCell ref="J13:J16"/>
    <mergeCell ref="A9:A12"/>
    <mergeCell ref="G9:G12"/>
    <mergeCell ref="H9:H12"/>
    <mergeCell ref="I9:I12"/>
  </mergeCells>
  <phoneticPr fontId="0" type="noConversion"/>
  <printOptions horizontalCentered="1"/>
  <pageMargins left="0.39370078740157483" right="0.19685039370078741" top="0" bottom="0" header="0.39370078740157483" footer="0.39370078740157483"/>
  <pageSetup paperSize="9" scale="8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IL24"/>
  <sheetViews>
    <sheetView zoomScale="85" workbookViewId="0">
      <selection activeCell="A9" sqref="A9:A12"/>
    </sheetView>
  </sheetViews>
  <sheetFormatPr defaultRowHeight="12.75"/>
  <cols>
    <col min="1" max="2" width="5.7109375" style="12" customWidth="1"/>
    <col min="3" max="3" width="11.140625" style="12" customWidth="1"/>
    <col min="4" max="4" width="15.42578125" style="12" bestFit="1" customWidth="1"/>
    <col min="5" max="5" width="12.140625" style="404" customWidth="1"/>
    <col min="6" max="6" width="15" style="405" customWidth="1"/>
    <col min="7" max="7" width="10.140625" style="406" customWidth="1"/>
    <col min="8" max="8" width="10.140625" style="407" customWidth="1"/>
    <col min="9" max="9" width="9.5703125" style="96" customWidth="1"/>
    <col min="10" max="10" width="29.42578125" style="12" customWidth="1"/>
    <col min="11" max="16384" width="9.140625" style="12"/>
  </cols>
  <sheetData>
    <row r="1" spans="1:246" s="94" customFormat="1" ht="18.75">
      <c r="A1" s="1" t="s">
        <v>0</v>
      </c>
      <c r="E1" s="130"/>
      <c r="F1" s="363"/>
      <c r="G1" s="364"/>
      <c r="H1" s="67"/>
      <c r="I1" s="130"/>
      <c r="K1" s="130"/>
      <c r="IL1" s="12"/>
    </row>
    <row r="2" spans="1:246" s="94" customFormat="1" ht="13.5" customHeight="1">
      <c r="E2" s="130"/>
      <c r="F2" s="363"/>
      <c r="G2" s="364"/>
      <c r="H2" s="67"/>
      <c r="I2" s="130"/>
      <c r="J2" s="11" t="s">
        <v>1</v>
      </c>
      <c r="K2" s="130"/>
      <c r="IL2" s="12"/>
    </row>
    <row r="3" spans="1:246" ht="4.5" customHeight="1">
      <c r="C3" s="13"/>
      <c r="E3" s="365">
        <v>1.1574074074074073E-5</v>
      </c>
      <c r="F3" s="209"/>
      <c r="G3" s="97"/>
      <c r="H3" s="121"/>
      <c r="I3" s="121"/>
      <c r="J3" s="20"/>
      <c r="K3" s="74"/>
      <c r="L3" s="210"/>
      <c r="M3" s="20"/>
    </row>
    <row r="4" spans="1:246" ht="15.75">
      <c r="C4" s="13" t="s">
        <v>629</v>
      </c>
      <c r="E4" s="14"/>
      <c r="F4" s="15"/>
      <c r="G4" s="364"/>
      <c r="H4" s="67"/>
      <c r="I4" s="267"/>
      <c r="J4" s="29" t="s">
        <v>3</v>
      </c>
      <c r="K4" s="267"/>
    </row>
    <row r="5" spans="1:246" ht="4.5" customHeight="1">
      <c r="C5" s="13"/>
      <c r="E5" s="209"/>
      <c r="F5" s="209"/>
      <c r="G5" s="97"/>
      <c r="H5" s="121"/>
      <c r="I5" s="121"/>
      <c r="J5" s="267"/>
      <c r="K5" s="74"/>
      <c r="L5" s="210"/>
      <c r="M5" s="20"/>
    </row>
    <row r="6" spans="1:246" ht="3" customHeight="1">
      <c r="C6" s="13"/>
      <c r="D6" s="94"/>
      <c r="E6" s="209"/>
      <c r="F6" s="209"/>
      <c r="G6" s="97"/>
      <c r="H6" s="121"/>
      <c r="I6" s="121"/>
      <c r="J6" s="267"/>
      <c r="K6" s="74"/>
      <c r="L6" s="210"/>
      <c r="M6" s="20"/>
    </row>
    <row r="7" spans="1:246" ht="6" customHeight="1" thickBot="1">
      <c r="D7" s="33"/>
      <c r="E7" s="369"/>
      <c r="F7" s="370"/>
      <c r="G7" s="97"/>
      <c r="H7" s="121"/>
      <c r="I7" s="121"/>
      <c r="J7" s="267"/>
      <c r="K7" s="74"/>
      <c r="L7" s="210"/>
      <c r="M7" s="20"/>
    </row>
    <row r="8" spans="1:246" s="210" customFormat="1" ht="12" thickBot="1">
      <c r="A8" s="408" t="s">
        <v>43</v>
      </c>
      <c r="B8" s="409" t="s">
        <v>6</v>
      </c>
      <c r="C8" s="410" t="s">
        <v>7</v>
      </c>
      <c r="D8" s="411" t="s">
        <v>8</v>
      </c>
      <c r="E8" s="412" t="s">
        <v>9</v>
      </c>
      <c r="F8" s="413" t="s">
        <v>10</v>
      </c>
      <c r="G8" s="414" t="s">
        <v>11</v>
      </c>
      <c r="H8" s="415" t="s">
        <v>12</v>
      </c>
      <c r="I8" s="416" t="s">
        <v>15</v>
      </c>
      <c r="J8" s="417" t="s">
        <v>16</v>
      </c>
    </row>
    <row r="9" spans="1:246" ht="18" customHeight="1">
      <c r="A9" s="480">
        <v>1</v>
      </c>
      <c r="B9" s="418">
        <v>150</v>
      </c>
      <c r="C9" s="419" t="s">
        <v>395</v>
      </c>
      <c r="D9" s="420" t="s">
        <v>396</v>
      </c>
      <c r="E9" s="421" t="s">
        <v>397</v>
      </c>
      <c r="F9" s="422" t="s">
        <v>630</v>
      </c>
      <c r="G9" s="491">
        <f>IF(ISBLANK(H9),"",TRUNC(0.312*((H9/$E$3)-144)^2))</f>
        <v>625</v>
      </c>
      <c r="H9" s="484">
        <v>1.1484953703703703E-3</v>
      </c>
      <c r="I9" s="476" t="str">
        <f>IF(ISBLANK(H9),"",IF(H9&lt;=0.00101851851851852,"KSM",IF(H9&lt;=0.00106481481481481,"I A",IF(H9&lt;=0.00112268518518519,"II A",IF(H9&lt;=0.00119212962962963,"III A",IF(H9&lt;=0.0012962962962963,"I JA",IF(H9&lt;=0.00138888888888889,"II JA",IF(H9&lt;=0.00144675925925926,"III JA",))))))))</f>
        <v>III A</v>
      </c>
      <c r="J9" s="423" t="s">
        <v>398</v>
      </c>
    </row>
    <row r="10" spans="1:246" ht="18" customHeight="1">
      <c r="A10" s="490"/>
      <c r="B10" s="424">
        <v>143</v>
      </c>
      <c r="C10" s="425" t="s">
        <v>305</v>
      </c>
      <c r="D10" s="426" t="s">
        <v>306</v>
      </c>
      <c r="E10" s="427" t="s">
        <v>101</v>
      </c>
      <c r="F10" s="428" t="s">
        <v>630</v>
      </c>
      <c r="G10" s="492"/>
      <c r="H10" s="485"/>
      <c r="I10" s="478"/>
      <c r="J10" s="392" t="s">
        <v>307</v>
      </c>
    </row>
    <row r="11" spans="1:246" ht="18" customHeight="1">
      <c r="A11" s="490"/>
      <c r="B11" s="387">
        <v>157</v>
      </c>
      <c r="C11" s="388" t="s">
        <v>227</v>
      </c>
      <c r="D11" s="389" t="s">
        <v>362</v>
      </c>
      <c r="E11" s="429" t="s">
        <v>363</v>
      </c>
      <c r="F11" s="391" t="s">
        <v>630</v>
      </c>
      <c r="G11" s="492"/>
      <c r="H11" s="485"/>
      <c r="I11" s="478"/>
      <c r="J11" s="392" t="s">
        <v>27</v>
      </c>
    </row>
    <row r="12" spans="1:246" ht="18" customHeight="1" thickBot="1">
      <c r="A12" s="482"/>
      <c r="B12" s="430">
        <v>152</v>
      </c>
      <c r="C12" s="431" t="s">
        <v>66</v>
      </c>
      <c r="D12" s="432" t="s">
        <v>67</v>
      </c>
      <c r="E12" s="433" t="s">
        <v>68</v>
      </c>
      <c r="F12" s="402" t="s">
        <v>630</v>
      </c>
      <c r="G12" s="493"/>
      <c r="H12" s="486"/>
      <c r="I12" s="479"/>
      <c r="J12" s="403" t="s">
        <v>69</v>
      </c>
    </row>
    <row r="13" spans="1:246" ht="18" customHeight="1">
      <c r="A13" s="480">
        <v>2</v>
      </c>
      <c r="B13" s="418">
        <v>55</v>
      </c>
      <c r="C13" s="419" t="s">
        <v>364</v>
      </c>
      <c r="D13" s="420" t="s">
        <v>365</v>
      </c>
      <c r="E13" s="421" t="s">
        <v>366</v>
      </c>
      <c r="F13" s="422" t="s">
        <v>59</v>
      </c>
      <c r="G13" s="491">
        <f>IF(ISBLANK(H13),"",TRUNC(0.312*((H13/$E$3)-144)^2))</f>
        <v>596</v>
      </c>
      <c r="H13" s="484">
        <v>1.1607638888888889E-3</v>
      </c>
      <c r="I13" s="476" t="str">
        <f>IF(ISBLANK(H13),"",IF(H13&lt;=0.00101851851851852,"KSM",IF(H13&lt;=0.00106481481481481,"I A",IF(H13&lt;=0.00112268518518519,"II A",IF(H13&lt;=0.00119212962962963,"III A",IF(H13&lt;=0.0012962962962963,"I JA",IF(H13&lt;=0.00138888888888889,"II JA",IF(H13&lt;=0.00144675925925926,"III JA",))))))))</f>
        <v>III A</v>
      </c>
      <c r="J13" s="423" t="s">
        <v>367</v>
      </c>
    </row>
    <row r="14" spans="1:246" ht="18" customHeight="1">
      <c r="A14" s="490"/>
      <c r="B14" s="424">
        <v>48</v>
      </c>
      <c r="C14" s="425" t="s">
        <v>470</v>
      </c>
      <c r="D14" s="426" t="s">
        <v>471</v>
      </c>
      <c r="E14" s="427" t="s">
        <v>472</v>
      </c>
      <c r="F14" s="428" t="s">
        <v>59</v>
      </c>
      <c r="G14" s="492"/>
      <c r="H14" s="485"/>
      <c r="I14" s="478"/>
      <c r="J14" s="392" t="s">
        <v>473</v>
      </c>
    </row>
    <row r="15" spans="1:246" ht="18" customHeight="1">
      <c r="A15" s="490"/>
      <c r="B15" s="387">
        <v>51</v>
      </c>
      <c r="C15" s="388" t="s">
        <v>56</v>
      </c>
      <c r="D15" s="389" t="s">
        <v>57</v>
      </c>
      <c r="E15" s="429" t="s">
        <v>58</v>
      </c>
      <c r="F15" s="391" t="s">
        <v>59</v>
      </c>
      <c r="G15" s="492"/>
      <c r="H15" s="485"/>
      <c r="I15" s="478"/>
      <c r="J15" s="392" t="s">
        <v>22</v>
      </c>
    </row>
    <row r="16" spans="1:246" ht="18" customHeight="1" thickBot="1">
      <c r="A16" s="482"/>
      <c r="B16" s="430">
        <v>53</v>
      </c>
      <c r="C16" s="431" t="s">
        <v>238</v>
      </c>
      <c r="D16" s="432" t="s">
        <v>371</v>
      </c>
      <c r="E16" s="433" t="s">
        <v>372</v>
      </c>
      <c r="F16" s="402" t="s">
        <v>59</v>
      </c>
      <c r="G16" s="493"/>
      <c r="H16" s="486"/>
      <c r="I16" s="479"/>
      <c r="J16" s="403" t="s">
        <v>367</v>
      </c>
    </row>
    <row r="17" spans="1:10" ht="18" customHeight="1">
      <c r="A17" s="480">
        <v>3</v>
      </c>
      <c r="B17" s="418">
        <v>3</v>
      </c>
      <c r="C17" s="419" t="s">
        <v>258</v>
      </c>
      <c r="D17" s="420" t="s">
        <v>259</v>
      </c>
      <c r="E17" s="421" t="s">
        <v>260</v>
      </c>
      <c r="F17" s="422" t="s">
        <v>21</v>
      </c>
      <c r="G17" s="491">
        <f>IF(ISBLANK(H17),"",TRUNC(0.312*((H17/$E$3)-144)^2))</f>
        <v>564</v>
      </c>
      <c r="H17" s="484">
        <v>1.1744212962962965E-3</v>
      </c>
      <c r="I17" s="476" t="str">
        <f>IF(ISBLANK(H17),"",IF(H17&lt;=0.00101851851851852,"KSM",IF(H17&lt;=0.00106481481481481,"I A",IF(H17&lt;=0.00112268518518519,"II A",IF(H17&lt;=0.00119212962962963,"III A",IF(H17&lt;=0.0012962962962963,"I JA",IF(H17&lt;=0.00138888888888889,"II JA",IF(H17&lt;=0.00144675925925926,"III JA",))))))))</f>
        <v>III A</v>
      </c>
      <c r="J17" s="423" t="s">
        <v>159</v>
      </c>
    </row>
    <row r="18" spans="1:10" ht="18" customHeight="1">
      <c r="A18" s="490"/>
      <c r="B18" s="424">
        <v>1</v>
      </c>
      <c r="C18" s="425" t="s">
        <v>238</v>
      </c>
      <c r="D18" s="426" t="s">
        <v>239</v>
      </c>
      <c r="E18" s="427" t="s">
        <v>240</v>
      </c>
      <c r="F18" s="428" t="s">
        <v>21</v>
      </c>
      <c r="G18" s="492"/>
      <c r="H18" s="485"/>
      <c r="I18" s="478"/>
      <c r="J18" s="392" t="s">
        <v>241</v>
      </c>
    </row>
    <row r="19" spans="1:10" ht="18" customHeight="1">
      <c r="A19" s="490"/>
      <c r="B19" s="387">
        <v>15</v>
      </c>
      <c r="C19" s="388" t="s">
        <v>125</v>
      </c>
      <c r="D19" s="389" t="s">
        <v>463</v>
      </c>
      <c r="E19" s="429" t="s">
        <v>464</v>
      </c>
      <c r="F19" s="391" t="s">
        <v>21</v>
      </c>
      <c r="G19" s="492"/>
      <c r="H19" s="485"/>
      <c r="I19" s="478"/>
      <c r="J19" s="392" t="s">
        <v>135</v>
      </c>
    </row>
    <row r="20" spans="1:10" ht="18" customHeight="1" thickBot="1">
      <c r="A20" s="482"/>
      <c r="B20" s="430">
        <v>6</v>
      </c>
      <c r="C20" s="431" t="s">
        <v>298</v>
      </c>
      <c r="D20" s="432" t="s">
        <v>299</v>
      </c>
      <c r="E20" s="433" t="s">
        <v>300</v>
      </c>
      <c r="F20" s="402" t="s">
        <v>21</v>
      </c>
      <c r="G20" s="493"/>
      <c r="H20" s="486"/>
      <c r="I20" s="479"/>
      <c r="J20" s="403" t="s">
        <v>135</v>
      </c>
    </row>
    <row r="21" spans="1:10" ht="18" customHeight="1">
      <c r="A21" s="480">
        <v>4</v>
      </c>
      <c r="B21" s="418">
        <v>160</v>
      </c>
      <c r="C21" s="419" t="s">
        <v>475</v>
      </c>
      <c r="D21" s="420" t="s">
        <v>476</v>
      </c>
      <c r="E21" s="421" t="s">
        <v>477</v>
      </c>
      <c r="F21" s="422" t="s">
        <v>631</v>
      </c>
      <c r="G21" s="491">
        <f>IF(ISBLANK(H21),"",TRUNC(0.312*((H21/$E$3)-144)^2))</f>
        <v>508</v>
      </c>
      <c r="H21" s="484">
        <v>1.1995370370370369E-3</v>
      </c>
      <c r="I21" s="476"/>
      <c r="J21" s="423" t="s">
        <v>263</v>
      </c>
    </row>
    <row r="22" spans="1:10" ht="18" customHeight="1">
      <c r="A22" s="490"/>
      <c r="B22" s="424">
        <v>147</v>
      </c>
      <c r="C22" s="425" t="s">
        <v>293</v>
      </c>
      <c r="D22" s="426" t="s">
        <v>294</v>
      </c>
      <c r="E22" s="427" t="s">
        <v>295</v>
      </c>
      <c r="F22" s="428" t="s">
        <v>632</v>
      </c>
      <c r="G22" s="492"/>
      <c r="H22" s="485"/>
      <c r="I22" s="478"/>
      <c r="J22" s="392" t="s">
        <v>296</v>
      </c>
    </row>
    <row r="23" spans="1:10" ht="18" customHeight="1">
      <c r="A23" s="490"/>
      <c r="B23" s="387">
        <v>159</v>
      </c>
      <c r="C23" s="388" t="s">
        <v>434</v>
      </c>
      <c r="D23" s="389" t="s">
        <v>435</v>
      </c>
      <c r="E23" s="429" t="s">
        <v>436</v>
      </c>
      <c r="F23" s="391" t="s">
        <v>632</v>
      </c>
      <c r="G23" s="492"/>
      <c r="H23" s="485"/>
      <c r="I23" s="478"/>
      <c r="J23" s="392" t="s">
        <v>263</v>
      </c>
    </row>
    <row r="24" spans="1:10" ht="18" customHeight="1" thickBot="1">
      <c r="A24" s="482"/>
      <c r="B24" s="430">
        <v>140</v>
      </c>
      <c r="C24" s="431" t="s">
        <v>66</v>
      </c>
      <c r="D24" s="432" t="s">
        <v>261</v>
      </c>
      <c r="E24" s="433" t="s">
        <v>262</v>
      </c>
      <c r="F24" s="402" t="s">
        <v>632</v>
      </c>
      <c r="G24" s="493"/>
      <c r="H24" s="486"/>
      <c r="I24" s="479"/>
      <c r="J24" s="403" t="s">
        <v>263</v>
      </c>
    </row>
  </sheetData>
  <mergeCells count="16">
    <mergeCell ref="A13:A16"/>
    <mergeCell ref="G13:G16"/>
    <mergeCell ref="H13:H16"/>
    <mergeCell ref="I13:I16"/>
    <mergeCell ref="A9:A12"/>
    <mergeCell ref="G9:G12"/>
    <mergeCell ref="H9:H12"/>
    <mergeCell ref="I9:I12"/>
    <mergeCell ref="A21:A24"/>
    <mergeCell ref="G21:G24"/>
    <mergeCell ref="H21:H24"/>
    <mergeCell ref="I21:I24"/>
    <mergeCell ref="A17:A20"/>
    <mergeCell ref="G17:G20"/>
    <mergeCell ref="H17:H20"/>
    <mergeCell ref="I17:I20"/>
  </mergeCells>
  <phoneticPr fontId="0" type="noConversion"/>
  <printOptions horizontalCentered="1"/>
  <pageMargins left="0.39370078740157483" right="0.39370078740157483" top="0.19685039370078741" bottom="0.19685039370078741" header="0.39370078740157483" footer="0.39370078740157483"/>
  <pageSetup paperSize="9" scale="9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N10"/>
  <sheetViews>
    <sheetView tabSelected="1" zoomScaleNormal="100" workbookViewId="0">
      <selection activeCell="I34" sqref="I34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8.42578125" style="472" customWidth="1"/>
    <col min="10" max="10" width="5.140625" style="28" customWidth="1"/>
    <col min="11" max="11" width="24.5703125" style="23" customWidth="1"/>
    <col min="12" max="247" width="9.140625" style="23"/>
    <col min="248" max="16384" width="9.140625" style="70"/>
  </cols>
  <sheetData>
    <row r="1" spans="1:248" s="2" customFormat="1" ht="18.75">
      <c r="A1" s="1" t="s">
        <v>0</v>
      </c>
      <c r="E1" s="3"/>
      <c r="F1" s="4"/>
      <c r="G1" s="5"/>
      <c r="H1" s="179"/>
      <c r="I1" s="179"/>
      <c r="J1" s="3"/>
      <c r="IN1" s="70"/>
    </row>
    <row r="2" spans="1:248" s="2" customFormat="1" ht="13.5" customHeight="1">
      <c r="E2" s="3"/>
      <c r="F2" s="4"/>
      <c r="G2" s="5"/>
      <c r="H2" s="179"/>
      <c r="I2" s="179"/>
      <c r="J2" s="3"/>
      <c r="K2" s="11" t="s">
        <v>1</v>
      </c>
      <c r="IN2" s="70"/>
    </row>
    <row r="3" spans="1:248" s="12" customFormat="1" ht="4.5" customHeight="1">
      <c r="C3" s="13"/>
      <c r="E3" s="180">
        <v>1.1574074074074073E-5</v>
      </c>
      <c r="F3" s="15"/>
      <c r="G3" s="71"/>
      <c r="H3" s="181"/>
      <c r="I3" s="121"/>
      <c r="J3" s="74"/>
      <c r="K3" s="20"/>
    </row>
    <row r="4" spans="1:248" ht="15.75">
      <c r="C4" s="24" t="s">
        <v>657</v>
      </c>
      <c r="E4" s="25"/>
      <c r="F4" s="26"/>
      <c r="K4" s="29" t="s">
        <v>3</v>
      </c>
    </row>
    <row r="5" spans="1:248" s="12" customFormat="1" ht="4.5" customHeight="1">
      <c r="C5" s="13"/>
      <c r="E5" s="14"/>
      <c r="F5" s="15"/>
      <c r="G5" s="71"/>
      <c r="H5" s="181"/>
      <c r="I5" s="121"/>
      <c r="J5" s="74"/>
      <c r="K5" s="20"/>
    </row>
    <row r="6" spans="1:248" s="12" customFormat="1" ht="12.75" customHeight="1">
      <c r="C6" s="23"/>
      <c r="D6" s="33"/>
      <c r="E6" s="34"/>
      <c r="F6" s="35"/>
      <c r="G6" s="71"/>
      <c r="H6" s="181"/>
      <c r="I6" s="121"/>
      <c r="J6" s="74"/>
      <c r="K6" s="20"/>
    </row>
    <row r="7" spans="1:248" s="12" customFormat="1" ht="6" customHeight="1">
      <c r="E7" s="36"/>
      <c r="F7" s="37"/>
      <c r="G7" s="71"/>
      <c r="H7" s="182"/>
      <c r="I7" s="121"/>
      <c r="J7" s="74"/>
      <c r="K7" s="20"/>
    </row>
    <row r="8" spans="1:248" ht="12.6" customHeight="1">
      <c r="A8" s="39" t="s">
        <v>43</v>
      </c>
      <c r="B8" s="40" t="s">
        <v>6</v>
      </c>
      <c r="C8" s="41" t="s">
        <v>7</v>
      </c>
      <c r="D8" s="42" t="s">
        <v>8</v>
      </c>
      <c r="E8" s="43" t="s">
        <v>9</v>
      </c>
      <c r="F8" s="44" t="s">
        <v>10</v>
      </c>
      <c r="G8" s="45" t="s">
        <v>11</v>
      </c>
      <c r="H8" s="183" t="s">
        <v>12</v>
      </c>
      <c r="I8" s="473" t="s">
        <v>656</v>
      </c>
      <c r="J8" s="48" t="s">
        <v>15</v>
      </c>
      <c r="K8" s="39" t="s">
        <v>16</v>
      </c>
    </row>
    <row r="9" spans="1:248" s="92" customFormat="1" ht="16.350000000000001" customHeight="1">
      <c r="A9" s="51">
        <v>1</v>
      </c>
      <c r="B9" s="52">
        <v>32</v>
      </c>
      <c r="C9" s="475" t="s">
        <v>34</v>
      </c>
      <c r="D9" s="474" t="s">
        <v>655</v>
      </c>
      <c r="E9" s="185" t="s">
        <v>654</v>
      </c>
      <c r="F9" s="56" t="s">
        <v>26</v>
      </c>
      <c r="G9" s="218">
        <f>IF(ISBLANK(H9),"",TRUNC(0.000525*((H9/$E$3)-2220)^2))</f>
        <v>920</v>
      </c>
      <c r="H9" s="217">
        <v>1.0365162037037037E-2</v>
      </c>
      <c r="I9" s="473"/>
      <c r="J9" s="291" t="str">
        <f>IF(ISBLANK(H9),"",IF(H9&gt;0.0125,"",IF(H9&lt;=0.00943287037037037,"SM",IF(H9&lt;=0.0102430555555556,"KSM",IF(H9&lt;=0.0107060185185185,"I A",IF(H9&lt;=0.0115162037037037,"II A",IF(H9&lt;=0.0125,"III A")))))))</f>
        <v>I A</v>
      </c>
      <c r="K9" s="61" t="s">
        <v>653</v>
      </c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</row>
    <row r="10" spans="1:248" s="92" customFormat="1" ht="16.350000000000001" customHeight="1">
      <c r="A10" s="51" t="s">
        <v>73</v>
      </c>
      <c r="B10" s="52">
        <v>173</v>
      </c>
      <c r="C10" s="475" t="s">
        <v>652</v>
      </c>
      <c r="D10" s="474" t="s">
        <v>651</v>
      </c>
      <c r="E10" s="185" t="s">
        <v>650</v>
      </c>
      <c r="F10" s="56" t="s">
        <v>649</v>
      </c>
      <c r="G10" s="218" t="s">
        <v>73</v>
      </c>
      <c r="H10" s="217">
        <v>1.0337037037037037E-2</v>
      </c>
      <c r="I10" s="473"/>
      <c r="J10" s="291" t="str">
        <f>IF(ISBLANK(H10),"",IF(H10&gt;0.0125,"",IF(H10&lt;=0.00943287037037037,"SM",IF(H10&lt;=0.0102430555555556,"KSM",IF(H10&lt;=0.0107060185185185,"I A",IF(H10&lt;=0.0115162037037037,"II A",IF(H10&lt;=0.0125,"III A")))))))</f>
        <v>I A</v>
      </c>
      <c r="K10" s="61" t="s">
        <v>648</v>
      </c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scale="86" fitToHeight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"/>
  <sheetViews>
    <sheetView zoomScaleNormal="100" workbookViewId="0">
      <selection activeCell="A10" sqref="A10"/>
    </sheetView>
  </sheetViews>
  <sheetFormatPr defaultColWidth="11.42578125" defaultRowHeight="12.75"/>
  <cols>
    <col min="1" max="1" width="4.28515625" style="338" customWidth="1"/>
    <col min="2" max="2" width="4.42578125" style="338" customWidth="1"/>
    <col min="3" max="3" width="9.85546875" style="338" customWidth="1"/>
    <col min="4" max="4" width="13" style="338" customWidth="1"/>
    <col min="5" max="5" width="9.28515625" style="338" customWidth="1"/>
    <col min="6" max="6" width="8.140625" style="338" customWidth="1"/>
    <col min="7" max="7" width="6" style="338" customWidth="1"/>
    <col min="8" max="17" width="4.42578125" style="338" customWidth="1"/>
    <col min="18" max="18" width="7.28515625" style="338" customWidth="1"/>
    <col min="19" max="19" width="4.42578125" style="338" bestFit="1" customWidth="1"/>
    <col min="20" max="20" width="27.85546875" style="343" customWidth="1"/>
    <col min="21" max="21" width="4" style="338" customWidth="1"/>
    <col min="22" max="16384" width="11.42578125" style="338"/>
  </cols>
  <sheetData>
    <row r="1" spans="1:22" s="336" customFormat="1" ht="15" customHeight="1">
      <c r="A1" s="333" t="s">
        <v>0</v>
      </c>
      <c r="B1" s="334"/>
      <c r="C1" s="335"/>
      <c r="D1" s="334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22" ht="15" customHeight="1">
      <c r="C2" s="339"/>
      <c r="T2" s="11" t="s">
        <v>1</v>
      </c>
    </row>
    <row r="3" spans="1:22" s="176" customFormat="1" ht="15" customHeight="1">
      <c r="C3" s="333"/>
      <c r="G3" s="340"/>
      <c r="H3" s="338"/>
      <c r="I3" s="338"/>
      <c r="J3" s="338"/>
      <c r="K3" s="338"/>
      <c r="L3" s="338"/>
      <c r="M3" s="338"/>
      <c r="N3" s="338"/>
      <c r="O3" s="338"/>
      <c r="P3" s="338"/>
      <c r="Q3" s="338"/>
      <c r="T3" s="29" t="s">
        <v>3</v>
      </c>
    </row>
    <row r="4" spans="1:22" s="176" customFormat="1" ht="15" customHeight="1">
      <c r="C4" s="339" t="s">
        <v>592</v>
      </c>
      <c r="E4" s="336"/>
      <c r="G4" s="341"/>
      <c r="H4" s="338"/>
      <c r="I4" s="338"/>
      <c r="J4" s="338"/>
      <c r="K4" s="338"/>
      <c r="L4" s="338"/>
      <c r="M4" s="338"/>
      <c r="N4" s="338"/>
      <c r="O4" s="338"/>
      <c r="P4" s="338"/>
      <c r="Q4" s="338"/>
      <c r="T4" s="342"/>
    </row>
    <row r="5" spans="1:22" s="308" customFormat="1" ht="2.1" customHeight="1">
      <c r="V5" s="314"/>
    </row>
    <row r="6" spans="1:22" s="308" customFormat="1" ht="2.1" customHeight="1">
      <c r="V6" s="314"/>
    </row>
    <row r="7" spans="1:22" ht="15" customHeight="1">
      <c r="C7" s="335"/>
      <c r="H7" s="494" t="s">
        <v>553</v>
      </c>
      <c r="I7" s="495"/>
      <c r="J7" s="495"/>
      <c r="K7" s="495"/>
      <c r="L7" s="495"/>
      <c r="M7" s="495"/>
      <c r="N7" s="495"/>
      <c r="O7" s="495"/>
      <c r="P7" s="495"/>
      <c r="Q7" s="496"/>
    </row>
    <row r="8" spans="1:22" ht="24" customHeight="1">
      <c r="A8" s="344" t="s">
        <v>43</v>
      </c>
      <c r="B8" s="345" t="s">
        <v>6</v>
      </c>
      <c r="C8" s="346" t="s">
        <v>7</v>
      </c>
      <c r="D8" s="347" t="s">
        <v>8</v>
      </c>
      <c r="E8" s="348" t="s">
        <v>9</v>
      </c>
      <c r="F8" s="349" t="s">
        <v>10</v>
      </c>
      <c r="G8" s="344" t="s">
        <v>11</v>
      </c>
      <c r="H8" s="350" t="s">
        <v>593</v>
      </c>
      <c r="I8" s="350" t="s">
        <v>594</v>
      </c>
      <c r="J8" s="350" t="s">
        <v>595</v>
      </c>
      <c r="K8" s="350" t="s">
        <v>596</v>
      </c>
      <c r="L8" s="350" t="s">
        <v>597</v>
      </c>
      <c r="M8" s="350" t="s">
        <v>598</v>
      </c>
      <c r="N8" s="350" t="s">
        <v>599</v>
      </c>
      <c r="O8" s="350" t="s">
        <v>600</v>
      </c>
      <c r="P8" s="350" t="s">
        <v>601</v>
      </c>
      <c r="Q8" s="350" t="s">
        <v>602</v>
      </c>
      <c r="R8" s="344" t="s">
        <v>565</v>
      </c>
      <c r="S8" s="349" t="s">
        <v>104</v>
      </c>
      <c r="T8" s="351" t="s">
        <v>16</v>
      </c>
      <c r="U8" s="352"/>
    </row>
    <row r="9" spans="1:22" ht="23.25" customHeight="1">
      <c r="A9" s="110">
        <v>1</v>
      </c>
      <c r="B9" s="353">
        <v>14</v>
      </c>
      <c r="C9" s="354" t="s">
        <v>284</v>
      </c>
      <c r="D9" s="355" t="s">
        <v>285</v>
      </c>
      <c r="E9" s="356" t="s">
        <v>286</v>
      </c>
      <c r="F9" s="357" t="s">
        <v>21</v>
      </c>
      <c r="G9" s="358">
        <f>IF(ISBLANK(R9),"",TRUNC(39.34*(R9+10.574)^2)-5000)</f>
        <v>878</v>
      </c>
      <c r="H9" s="166" t="s">
        <v>603</v>
      </c>
      <c r="I9" s="166" t="s">
        <v>603</v>
      </c>
      <c r="J9" s="166" t="s">
        <v>603</v>
      </c>
      <c r="K9" s="166" t="s">
        <v>603</v>
      </c>
      <c r="L9" s="166" t="s">
        <v>604</v>
      </c>
      <c r="M9" s="166"/>
      <c r="N9" s="166"/>
      <c r="O9" s="166"/>
      <c r="P9" s="166"/>
      <c r="Q9" s="166"/>
      <c r="R9" s="359">
        <v>1.65</v>
      </c>
      <c r="S9" s="360" t="str">
        <f>IF(ISBLANK(R9),"",IF(R9&lt;1.39,"",IF(R9&gt;=1.91,"TSM",IF(R9&gt;=1.83,"SM",IF(R9&gt;=1.75,"KSM",IF(R9&gt;=1.65,"I A",IF(R9&gt;=1.5,"II A",IF(R9&gt;=1.39,"III A"))))))))</f>
        <v>I A</v>
      </c>
      <c r="T9" s="357" t="s">
        <v>605</v>
      </c>
      <c r="U9" s="361"/>
    </row>
    <row r="10" spans="1:22" ht="23.25" customHeight="1">
      <c r="A10" s="110">
        <v>2</v>
      </c>
      <c r="B10" s="353">
        <v>166</v>
      </c>
      <c r="C10" s="354" t="s">
        <v>34</v>
      </c>
      <c r="D10" s="355" t="s">
        <v>606</v>
      </c>
      <c r="E10" s="356" t="s">
        <v>607</v>
      </c>
      <c r="F10" s="357" t="s">
        <v>41</v>
      </c>
      <c r="G10" s="358">
        <f>IF(ISBLANK(R10),"",TRUNC(39.34*(R10+10.574)^2)-5000)</f>
        <v>735</v>
      </c>
      <c r="H10" s="166" t="s">
        <v>608</v>
      </c>
      <c r="I10" s="166" t="s">
        <v>604</v>
      </c>
      <c r="J10" s="166"/>
      <c r="K10" s="166"/>
      <c r="L10" s="166"/>
      <c r="M10" s="166"/>
      <c r="N10" s="166"/>
      <c r="O10" s="166"/>
      <c r="P10" s="166"/>
      <c r="Q10" s="166"/>
      <c r="R10" s="359">
        <v>1.5</v>
      </c>
      <c r="S10" s="360" t="str">
        <f>IF(ISBLANK(R10),"",IF(R10&lt;1.39,"",IF(R10&gt;=1.91,"TSM",IF(R10&gt;=1.83,"SM",IF(R10&gt;=1.75,"KSM",IF(R10&gt;=1.65,"I A",IF(R10&gt;=1.5,"II A",IF(R10&gt;=1.39,"III A"))))))))</f>
        <v>II A</v>
      </c>
      <c r="T10" s="357" t="s">
        <v>214</v>
      </c>
      <c r="U10" s="361"/>
    </row>
    <row r="11" spans="1:22" ht="23.25" customHeight="1">
      <c r="A11" s="353" t="s">
        <v>73</v>
      </c>
      <c r="B11" s="353">
        <v>191</v>
      </c>
      <c r="C11" s="354" t="s">
        <v>609</v>
      </c>
      <c r="D11" s="355" t="s">
        <v>610</v>
      </c>
      <c r="E11" s="356" t="s">
        <v>611</v>
      </c>
      <c r="F11" s="357" t="s">
        <v>74</v>
      </c>
      <c r="G11" s="358" t="s">
        <v>73</v>
      </c>
      <c r="H11" s="166"/>
      <c r="I11" s="166"/>
      <c r="J11" s="166" t="s">
        <v>603</v>
      </c>
      <c r="K11" s="166" t="s">
        <v>603</v>
      </c>
      <c r="L11" s="166" t="s">
        <v>603</v>
      </c>
      <c r="M11" s="166" t="s">
        <v>612</v>
      </c>
      <c r="N11" s="166" t="s">
        <v>603</v>
      </c>
      <c r="O11" s="166" t="s">
        <v>612</v>
      </c>
      <c r="P11" s="166" t="s">
        <v>604</v>
      </c>
      <c r="Q11" s="166"/>
      <c r="R11" s="359">
        <v>1.82</v>
      </c>
      <c r="S11" s="360" t="str">
        <f>IF(ISBLANK(R11),"",IF(R11&lt;1.39,"",IF(R11&gt;=1.91,"TSM",IF(R11&gt;=1.83,"SM",IF(R11&gt;=1.75,"KSM",IF(R11&gt;=1.65,"I A",IF(R11&gt;=1.5,"II A",IF(R11&gt;=1.39,"III A"))))))))</f>
        <v>KSM</v>
      </c>
      <c r="T11" s="357" t="s">
        <v>71</v>
      </c>
      <c r="U11" s="361"/>
    </row>
    <row r="12" spans="1:22" ht="23.25" customHeight="1">
      <c r="A12" s="110"/>
      <c r="B12" s="353">
        <v>65</v>
      </c>
      <c r="C12" s="354" t="s">
        <v>288</v>
      </c>
      <c r="D12" s="355" t="s">
        <v>613</v>
      </c>
      <c r="E12" s="356" t="s">
        <v>614</v>
      </c>
      <c r="F12" s="357" t="s">
        <v>117</v>
      </c>
      <c r="G12" s="358"/>
      <c r="H12" s="166" t="s">
        <v>604</v>
      </c>
      <c r="I12" s="166"/>
      <c r="J12" s="166"/>
      <c r="K12" s="166"/>
      <c r="L12" s="166"/>
      <c r="M12" s="166"/>
      <c r="N12" s="166"/>
      <c r="O12" s="166"/>
      <c r="P12" s="166"/>
      <c r="Q12" s="166"/>
      <c r="R12" s="359" t="s">
        <v>266</v>
      </c>
      <c r="S12" s="360"/>
      <c r="T12" s="357" t="s">
        <v>27</v>
      </c>
      <c r="U12" s="361"/>
    </row>
    <row r="13" spans="1:22" ht="23.25" customHeight="1">
      <c r="A13" s="353"/>
      <c r="B13" s="353">
        <v>109</v>
      </c>
      <c r="C13" s="354" t="s">
        <v>83</v>
      </c>
      <c r="D13" s="355" t="s">
        <v>82</v>
      </c>
      <c r="E13" s="356" t="s">
        <v>81</v>
      </c>
      <c r="F13" s="357" t="s">
        <v>80</v>
      </c>
      <c r="G13" s="358" t="s">
        <v>73</v>
      </c>
      <c r="H13" s="166" t="s">
        <v>604</v>
      </c>
      <c r="I13" s="166"/>
      <c r="J13" s="166"/>
      <c r="K13" s="166"/>
      <c r="L13" s="166"/>
      <c r="M13" s="166"/>
      <c r="N13" s="166"/>
      <c r="O13" s="166"/>
      <c r="P13" s="166"/>
      <c r="Q13" s="166"/>
      <c r="R13" s="359" t="s">
        <v>266</v>
      </c>
      <c r="S13" s="360"/>
      <c r="T13" s="357" t="s">
        <v>78</v>
      </c>
      <c r="U13" s="361"/>
    </row>
  </sheetData>
  <mergeCells count="1">
    <mergeCell ref="H7:Q7"/>
  </mergeCells>
  <phoneticPr fontId="0" type="noConversion"/>
  <printOptions horizontalCentered="1"/>
  <pageMargins left="0.39370078740157483" right="0.39370078740157483" top="0.78740157480314965" bottom="0.35433070866141736" header="0.62992125984251968" footer="0.23622047244094491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X14"/>
  <sheetViews>
    <sheetView zoomScaleNormal="100" workbookViewId="0">
      <selection activeCell="A10" sqref="A10"/>
    </sheetView>
  </sheetViews>
  <sheetFormatPr defaultColWidth="11.42578125" defaultRowHeight="12.75"/>
  <cols>
    <col min="1" max="1" width="4.28515625" style="308" customWidth="1"/>
    <col min="2" max="2" width="4.42578125" style="308" customWidth="1"/>
    <col min="3" max="3" width="9.85546875" style="308" customWidth="1"/>
    <col min="4" max="4" width="13" style="308" customWidth="1"/>
    <col min="5" max="5" width="10.85546875" style="308" customWidth="1"/>
    <col min="6" max="6" width="7.28515625" style="308" customWidth="1"/>
    <col min="7" max="7" width="5.140625" style="308" customWidth="1"/>
    <col min="8" max="19" width="4.7109375" style="308" customWidth="1"/>
    <col min="20" max="20" width="7.28515625" style="308" customWidth="1"/>
    <col min="21" max="21" width="6.42578125" style="308" customWidth="1"/>
    <col min="22" max="22" width="14.28515625" style="314" customWidth="1"/>
    <col min="23" max="23" width="3.42578125" style="308" customWidth="1"/>
    <col min="24" max="16384" width="11.42578125" style="308"/>
  </cols>
  <sheetData>
    <row r="1" spans="1:24" s="306" customFormat="1" ht="20.25">
      <c r="A1" s="303" t="s">
        <v>0</v>
      </c>
      <c r="B1" s="304"/>
      <c r="C1" s="305"/>
      <c r="D1" s="304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</row>
    <row r="2" spans="1:24" ht="15.75">
      <c r="C2" s="309"/>
      <c r="V2" s="11" t="s">
        <v>1</v>
      </c>
    </row>
    <row r="3" spans="1:24" s="310" customFormat="1" ht="15.75">
      <c r="C3" s="303"/>
      <c r="G3" s="311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V3" s="29" t="s">
        <v>3</v>
      </c>
    </row>
    <row r="4" spans="1:24" s="310" customFormat="1" ht="15.75">
      <c r="C4" s="309" t="s">
        <v>552</v>
      </c>
      <c r="E4" s="306"/>
      <c r="G4" s="312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V4" s="313"/>
    </row>
    <row r="5" spans="1:24" ht="2.1" customHeight="1">
      <c r="V5" s="308"/>
      <c r="X5" s="314"/>
    </row>
    <row r="6" spans="1:24" ht="2.1" customHeight="1">
      <c r="V6" s="308"/>
      <c r="X6" s="314"/>
    </row>
    <row r="7" spans="1:24" ht="11.25" customHeight="1">
      <c r="C7" s="305"/>
      <c r="H7" s="315"/>
      <c r="I7" s="316"/>
      <c r="J7" s="316"/>
      <c r="K7" s="316"/>
      <c r="L7" s="316"/>
      <c r="M7" s="316" t="s">
        <v>553</v>
      </c>
      <c r="N7" s="316"/>
      <c r="O7" s="316"/>
      <c r="P7" s="316"/>
      <c r="Q7" s="316"/>
      <c r="R7" s="316"/>
      <c r="S7" s="317"/>
    </row>
    <row r="8" spans="1:24" s="324" customFormat="1" ht="17.25" customHeight="1">
      <c r="A8" s="318" t="s">
        <v>43</v>
      </c>
      <c r="B8" s="319" t="s">
        <v>6</v>
      </c>
      <c r="C8" s="320" t="s">
        <v>7</v>
      </c>
      <c r="D8" s="321" t="s">
        <v>8</v>
      </c>
      <c r="E8" s="318" t="s">
        <v>9</v>
      </c>
      <c r="F8" s="319" t="s">
        <v>10</v>
      </c>
      <c r="G8" s="318" t="s">
        <v>11</v>
      </c>
      <c r="H8" s="322" t="s">
        <v>554</v>
      </c>
      <c r="I8" s="322" t="s">
        <v>555</v>
      </c>
      <c r="J8" s="322" t="s">
        <v>556</v>
      </c>
      <c r="K8" s="322" t="s">
        <v>557</v>
      </c>
      <c r="L8" s="322" t="s">
        <v>558</v>
      </c>
      <c r="M8" s="322" t="s">
        <v>559</v>
      </c>
      <c r="N8" s="322" t="s">
        <v>560</v>
      </c>
      <c r="O8" s="322" t="s">
        <v>561</v>
      </c>
      <c r="P8" s="322" t="s">
        <v>562</v>
      </c>
      <c r="Q8" s="322" t="s">
        <v>563</v>
      </c>
      <c r="R8" s="322" t="s">
        <v>564</v>
      </c>
      <c r="S8" s="322"/>
      <c r="T8" s="318" t="s">
        <v>565</v>
      </c>
      <c r="U8" s="319" t="s">
        <v>104</v>
      </c>
      <c r="V8" s="323" t="s">
        <v>16</v>
      </c>
    </row>
    <row r="9" spans="1:24" ht="23.25" customHeight="1">
      <c r="A9" s="110">
        <v>1</v>
      </c>
      <c r="B9" s="325">
        <v>41</v>
      </c>
      <c r="C9" s="326" t="s">
        <v>566</v>
      </c>
      <c r="D9" s="327" t="s">
        <v>567</v>
      </c>
      <c r="E9" s="328" t="s">
        <v>568</v>
      </c>
      <c r="F9" s="329" t="s">
        <v>26</v>
      </c>
      <c r="G9" s="330">
        <f>IF(ISBLANK(T9),"",TRUNC(32.29*(T9+11.534)^2)-5000)</f>
        <v>1090</v>
      </c>
      <c r="H9" s="325"/>
      <c r="I9" s="325"/>
      <c r="J9" s="325"/>
      <c r="K9" s="325"/>
      <c r="L9" s="325"/>
      <c r="M9" s="325" t="s">
        <v>569</v>
      </c>
      <c r="N9" s="325" t="s">
        <v>570</v>
      </c>
      <c r="O9" s="325" t="s">
        <v>569</v>
      </c>
      <c r="P9" s="325" t="s">
        <v>569</v>
      </c>
      <c r="Q9" s="325" t="s">
        <v>569</v>
      </c>
      <c r="R9" s="325" t="s">
        <v>571</v>
      </c>
      <c r="S9" s="325"/>
      <c r="T9" s="331">
        <v>2.2000000000000002</v>
      </c>
      <c r="U9" s="330" t="str">
        <f t="shared" ref="U9:U14" si="0">IF(ISBLANK(T9),"",IF(T9&lt;1.6,"",IF(T9&gt;=2.28,"TSM",IF(T9&gt;=2.15,"SM",IF(T9&gt;=2.03,"KSM",IF(T9&gt;=1.9,"I A",IF(T9&gt;=1.75,"II A",IF(T9&gt;=1.6,"III A"))))))))</f>
        <v>SM</v>
      </c>
      <c r="V9" s="329" t="s">
        <v>572</v>
      </c>
      <c r="W9" s="332"/>
    </row>
    <row r="10" spans="1:24" ht="23.25" customHeight="1">
      <c r="A10" s="110">
        <v>2</v>
      </c>
      <c r="B10" s="325">
        <v>126</v>
      </c>
      <c r="C10" s="326" t="s">
        <v>573</v>
      </c>
      <c r="D10" s="327" t="s">
        <v>574</v>
      </c>
      <c r="E10" s="328" t="s">
        <v>575</v>
      </c>
      <c r="F10" s="329" t="s">
        <v>26</v>
      </c>
      <c r="G10" s="330">
        <f>IF(ISBLANK(T10),"",TRUNC(32.29*(T10+11.534)^2)-5000)</f>
        <v>949</v>
      </c>
      <c r="H10" s="325"/>
      <c r="I10" s="325"/>
      <c r="J10" s="325"/>
      <c r="K10" s="325" t="s">
        <v>569</v>
      </c>
      <c r="L10" s="325" t="s">
        <v>569</v>
      </c>
      <c r="M10" s="325" t="s">
        <v>570</v>
      </c>
      <c r="N10" s="325" t="s">
        <v>571</v>
      </c>
      <c r="O10" s="325"/>
      <c r="P10" s="325"/>
      <c r="Q10" s="325"/>
      <c r="R10" s="325"/>
      <c r="S10" s="325"/>
      <c r="T10" s="331">
        <v>2.04</v>
      </c>
      <c r="U10" s="330" t="str">
        <f t="shared" si="0"/>
        <v>KSM</v>
      </c>
      <c r="V10" s="329" t="s">
        <v>576</v>
      </c>
      <c r="W10" s="332"/>
    </row>
    <row r="11" spans="1:24" ht="23.25" customHeight="1">
      <c r="A11" s="110">
        <v>3</v>
      </c>
      <c r="B11" s="325">
        <v>74</v>
      </c>
      <c r="C11" s="326" t="s">
        <v>577</v>
      </c>
      <c r="D11" s="327" t="s">
        <v>578</v>
      </c>
      <c r="E11" s="328" t="s">
        <v>579</v>
      </c>
      <c r="F11" s="329" t="s">
        <v>117</v>
      </c>
      <c r="G11" s="330">
        <f>IF(ISBLANK(T11),"",TRUNC(32.29*(T11+11.534)^2)-5000)</f>
        <v>827</v>
      </c>
      <c r="H11" s="325"/>
      <c r="I11" s="325" t="s">
        <v>569</v>
      </c>
      <c r="J11" s="325" t="s">
        <v>580</v>
      </c>
      <c r="K11" s="325" t="s">
        <v>571</v>
      </c>
      <c r="L11" s="325"/>
      <c r="M11" s="325"/>
      <c r="N11" s="325"/>
      <c r="O11" s="325"/>
      <c r="P11" s="325"/>
      <c r="Q11" s="325"/>
      <c r="R11" s="325"/>
      <c r="S11" s="325"/>
      <c r="T11" s="331">
        <v>1.9</v>
      </c>
      <c r="U11" s="330" t="str">
        <f t="shared" si="0"/>
        <v>I A</v>
      </c>
      <c r="V11" s="329" t="s">
        <v>581</v>
      </c>
      <c r="W11" s="332"/>
    </row>
    <row r="12" spans="1:24" ht="23.25" customHeight="1">
      <c r="A12" s="110">
        <v>4</v>
      </c>
      <c r="B12" s="325">
        <v>146</v>
      </c>
      <c r="C12" s="326" t="s">
        <v>242</v>
      </c>
      <c r="D12" s="327" t="s">
        <v>582</v>
      </c>
      <c r="E12" s="328" t="s">
        <v>583</v>
      </c>
      <c r="F12" s="329" t="s">
        <v>48</v>
      </c>
      <c r="G12" s="330">
        <f>IF(ISBLANK(T12),"",TRUNC(32.29*(T12+11.534)^2)-5000)</f>
        <v>784</v>
      </c>
      <c r="H12" s="325"/>
      <c r="I12" s="325" t="s">
        <v>569</v>
      </c>
      <c r="J12" s="325" t="s">
        <v>571</v>
      </c>
      <c r="K12" s="325"/>
      <c r="L12" s="325"/>
      <c r="M12" s="325"/>
      <c r="N12" s="325"/>
      <c r="O12" s="325"/>
      <c r="P12" s="325"/>
      <c r="Q12" s="325"/>
      <c r="R12" s="325"/>
      <c r="S12" s="325"/>
      <c r="T12" s="331">
        <v>1.85</v>
      </c>
      <c r="U12" s="330" t="str">
        <f t="shared" si="0"/>
        <v>II A</v>
      </c>
      <c r="V12" s="329" t="s">
        <v>584</v>
      </c>
      <c r="W12" s="332"/>
    </row>
    <row r="13" spans="1:24" ht="23.25" customHeight="1">
      <c r="A13" s="110" t="s">
        <v>73</v>
      </c>
      <c r="B13" s="325">
        <v>188</v>
      </c>
      <c r="C13" s="326" t="s">
        <v>585</v>
      </c>
      <c r="D13" s="327" t="s">
        <v>586</v>
      </c>
      <c r="E13" s="328" t="s">
        <v>587</v>
      </c>
      <c r="F13" s="329" t="s">
        <v>74</v>
      </c>
      <c r="G13" s="330" t="s">
        <v>73</v>
      </c>
      <c r="H13" s="325"/>
      <c r="I13" s="325"/>
      <c r="J13" s="325"/>
      <c r="K13" s="325"/>
      <c r="L13" s="325" t="s">
        <v>570</v>
      </c>
      <c r="M13" s="325" t="s">
        <v>569</v>
      </c>
      <c r="N13" s="325" t="s">
        <v>570</v>
      </c>
      <c r="O13" s="325" t="s">
        <v>569</v>
      </c>
      <c r="P13" s="325" t="s">
        <v>571</v>
      </c>
      <c r="Q13" s="325"/>
      <c r="R13" s="325"/>
      <c r="S13" s="325"/>
      <c r="T13" s="331">
        <v>2.12</v>
      </c>
      <c r="U13" s="330" t="str">
        <f t="shared" si="0"/>
        <v>KSM</v>
      </c>
      <c r="V13" s="329" t="s">
        <v>71</v>
      </c>
      <c r="W13" s="332"/>
    </row>
    <row r="14" spans="1:24" ht="23.25" customHeight="1">
      <c r="A14" s="110" t="s">
        <v>73</v>
      </c>
      <c r="B14" s="325">
        <v>175</v>
      </c>
      <c r="C14" s="326" t="s">
        <v>588</v>
      </c>
      <c r="D14" s="327" t="s">
        <v>589</v>
      </c>
      <c r="E14" s="328" t="s">
        <v>590</v>
      </c>
      <c r="F14" s="329" t="s">
        <v>80</v>
      </c>
      <c r="G14" s="330" t="s">
        <v>73</v>
      </c>
      <c r="H14" s="325"/>
      <c r="I14" s="325" t="s">
        <v>569</v>
      </c>
      <c r="J14" s="325" t="s">
        <v>569</v>
      </c>
      <c r="K14" s="325" t="s">
        <v>569</v>
      </c>
      <c r="L14" s="325" t="s">
        <v>569</v>
      </c>
      <c r="M14" s="325" t="s">
        <v>571</v>
      </c>
      <c r="N14" s="325"/>
      <c r="O14" s="325"/>
      <c r="P14" s="325"/>
      <c r="Q14" s="325"/>
      <c r="R14" s="325"/>
      <c r="S14" s="325"/>
      <c r="T14" s="331">
        <v>2</v>
      </c>
      <c r="U14" s="330" t="str">
        <f t="shared" si="0"/>
        <v>I A</v>
      </c>
      <c r="V14" s="329" t="s">
        <v>591</v>
      </c>
      <c r="W14" s="332"/>
    </row>
  </sheetData>
  <phoneticPr fontId="0" type="noConversion"/>
  <printOptions horizontalCentered="1"/>
  <pageMargins left="0.39370078740157483" right="0.39370078740157483" top="0.78740157480314965" bottom="0.35433070866141736" header="0.62992125984251968" footer="0.23622047244094491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6"/>
  <sheetViews>
    <sheetView showZeros="0" workbookViewId="0">
      <selection activeCell="A10" sqref="A10"/>
    </sheetView>
  </sheetViews>
  <sheetFormatPr defaultRowHeight="12.75"/>
  <cols>
    <col min="1" max="1" width="5.5703125" style="12" customWidth="1"/>
    <col min="2" max="2" width="4.5703125" style="12" customWidth="1"/>
    <col min="3" max="3" width="8" style="12" customWidth="1"/>
    <col min="4" max="4" width="13.5703125" style="12" customWidth="1"/>
    <col min="5" max="5" width="8.7109375" style="74" customWidth="1"/>
    <col min="6" max="6" width="9.5703125" style="98" customWidth="1"/>
    <col min="7" max="7" width="7.5703125" style="97" customWidth="1"/>
    <col min="8" max="10" width="5.5703125" style="95" customWidth="1"/>
    <col min="11" max="11" width="3.7109375" style="96" customWidth="1"/>
    <col min="12" max="14" width="5.5703125" style="95" customWidth="1"/>
    <col min="15" max="15" width="7.28515625" style="66" customWidth="1"/>
    <col min="16" max="16" width="6.5703125" style="94" customWidth="1"/>
    <col min="17" max="17" width="27.28515625" style="12" customWidth="1"/>
    <col min="18" max="18" width="4.42578125" style="93" customWidth="1"/>
    <col min="19" max="16384" width="9.140625" style="12"/>
  </cols>
  <sheetData>
    <row r="1" spans="1:23" s="94" customFormat="1" ht="20.25">
      <c r="A1" s="1" t="s">
        <v>0</v>
      </c>
      <c r="B1" s="124"/>
      <c r="C1" s="131"/>
      <c r="D1" s="124"/>
      <c r="E1" s="130"/>
      <c r="F1" s="129"/>
      <c r="G1" s="126"/>
      <c r="H1" s="125"/>
      <c r="I1" s="125"/>
      <c r="J1" s="125"/>
      <c r="K1" s="124"/>
      <c r="L1" s="125"/>
      <c r="M1" s="125"/>
      <c r="N1" s="125"/>
      <c r="O1" s="125"/>
      <c r="P1" s="124"/>
      <c r="Q1" s="124"/>
      <c r="R1" s="123"/>
    </row>
    <row r="2" spans="1:23" s="94" customFormat="1" ht="12" customHeight="1">
      <c r="A2" s="124"/>
      <c r="B2" s="124"/>
      <c r="C2" s="124"/>
      <c r="D2" s="124"/>
      <c r="E2" s="128"/>
      <c r="F2" s="127"/>
      <c r="G2" s="126"/>
      <c r="H2" s="125"/>
      <c r="I2" s="125"/>
      <c r="J2" s="125"/>
      <c r="K2" s="124"/>
      <c r="L2" s="125"/>
      <c r="M2" s="125"/>
      <c r="N2" s="125"/>
      <c r="O2" s="125"/>
      <c r="P2" s="124"/>
      <c r="Q2" s="11" t="s">
        <v>1</v>
      </c>
      <c r="R2" s="123"/>
    </row>
    <row r="3" spans="1:23" ht="12.75" customHeight="1">
      <c r="C3" s="13"/>
      <c r="L3" s="121"/>
      <c r="M3" s="121"/>
      <c r="Q3" s="29" t="s">
        <v>3</v>
      </c>
    </row>
    <row r="4" spans="1:23" ht="16.5" customHeight="1">
      <c r="C4" s="1" t="s">
        <v>108</v>
      </c>
      <c r="E4" s="122"/>
      <c r="L4" s="121"/>
      <c r="M4" s="121"/>
      <c r="Q4" s="29"/>
    </row>
    <row r="5" spans="1:23" s="96" customFormat="1" ht="2.1" customHeight="1">
      <c r="W5" s="120"/>
    </row>
    <row r="6" spans="1:23" s="96" customFormat="1" ht="2.1" customHeight="1">
      <c r="W6" s="120"/>
    </row>
    <row r="7" spans="1:23">
      <c r="H7" s="497" t="s">
        <v>107</v>
      </c>
      <c r="I7" s="498"/>
      <c r="J7" s="498"/>
      <c r="K7" s="498"/>
      <c r="L7" s="498"/>
      <c r="M7" s="498"/>
      <c r="N7" s="499"/>
    </row>
    <row r="8" spans="1:23" ht="22.5" customHeight="1">
      <c r="A8" s="119" t="s">
        <v>43</v>
      </c>
      <c r="B8" s="111" t="s">
        <v>6</v>
      </c>
      <c r="C8" s="118" t="s">
        <v>7</v>
      </c>
      <c r="D8" s="117" t="s">
        <v>8</v>
      </c>
      <c r="E8" s="116" t="s">
        <v>9</v>
      </c>
      <c r="F8" s="115" t="s">
        <v>10</v>
      </c>
      <c r="G8" s="114" t="s">
        <v>11</v>
      </c>
      <c r="H8" s="112">
        <v>1</v>
      </c>
      <c r="I8" s="112">
        <v>2</v>
      </c>
      <c r="J8" s="112">
        <v>3</v>
      </c>
      <c r="K8" s="113" t="s">
        <v>106</v>
      </c>
      <c r="L8" s="112">
        <v>4</v>
      </c>
      <c r="M8" s="112">
        <v>5</v>
      </c>
      <c r="N8" s="112">
        <v>6</v>
      </c>
      <c r="O8" s="86" t="s">
        <v>105</v>
      </c>
      <c r="P8" s="111" t="s">
        <v>104</v>
      </c>
      <c r="Q8" s="111" t="s">
        <v>16</v>
      </c>
    </row>
    <row r="9" spans="1:23" s="99" customFormat="1" ht="20.100000000000001" customHeight="1">
      <c r="A9" s="110">
        <v>1</v>
      </c>
      <c r="B9" s="109">
        <v>24</v>
      </c>
      <c r="C9" s="108" t="s">
        <v>103</v>
      </c>
      <c r="D9" s="107" t="s">
        <v>102</v>
      </c>
      <c r="E9" s="106" t="s">
        <v>101</v>
      </c>
      <c r="F9" s="105" t="s">
        <v>26</v>
      </c>
      <c r="G9" s="104">
        <f t="shared" ref="G9:G14" si="0">IF(ISBLANK(O9),"",TRUNC(1.966*(O9+49.24)^2)-5000)</f>
        <v>947</v>
      </c>
      <c r="H9" s="102" t="s">
        <v>79</v>
      </c>
      <c r="I9" s="102" t="s">
        <v>79</v>
      </c>
      <c r="J9" s="102">
        <v>5.76</v>
      </c>
      <c r="K9" s="103">
        <v>6</v>
      </c>
      <c r="L9" s="102" t="s">
        <v>79</v>
      </c>
      <c r="M9" s="102" t="s">
        <v>79</v>
      </c>
      <c r="N9" s="102" t="s">
        <v>79</v>
      </c>
      <c r="O9" s="86">
        <f>MAX(H9:J9,L9:N9)</f>
        <v>5.76</v>
      </c>
      <c r="P9" s="102" t="str">
        <f t="shared" ref="P9:P15" si="1">IF(ISBLANK(O9),"",IF(O9&lt;4.6,"",IF(O9&gt;=6.62,"TSM",IF(O9&gt;=6.3,"SM",IF(O9&gt;=6,"KSM",IF(O9&gt;=5.6,"I A",IF(O9&gt;=5.15,"II A",IF(O9&gt;=4.6,"III A"))))))))</f>
        <v>I A</v>
      </c>
      <c r="Q9" s="101" t="s">
        <v>100</v>
      </c>
      <c r="R9" s="100"/>
    </row>
    <row r="10" spans="1:23" s="99" customFormat="1" ht="20.100000000000001" customHeight="1">
      <c r="A10" s="110">
        <v>2</v>
      </c>
      <c r="B10" s="109">
        <v>100</v>
      </c>
      <c r="C10" s="108" t="s">
        <v>29</v>
      </c>
      <c r="D10" s="107" t="s">
        <v>30</v>
      </c>
      <c r="E10" s="106" t="s">
        <v>31</v>
      </c>
      <c r="F10" s="105" t="s">
        <v>32</v>
      </c>
      <c r="G10" s="104">
        <f t="shared" si="0"/>
        <v>869</v>
      </c>
      <c r="H10" s="102">
        <v>5.39</v>
      </c>
      <c r="I10" s="102" t="s">
        <v>28</v>
      </c>
      <c r="J10" s="102" t="s">
        <v>79</v>
      </c>
      <c r="K10" s="103">
        <v>4</v>
      </c>
      <c r="L10" s="102" t="s">
        <v>79</v>
      </c>
      <c r="M10" s="102">
        <v>5.4</v>
      </c>
      <c r="N10" s="102">
        <v>5.17</v>
      </c>
      <c r="O10" s="86">
        <v>5.4</v>
      </c>
      <c r="P10" s="102" t="str">
        <f t="shared" si="1"/>
        <v>II A</v>
      </c>
      <c r="Q10" s="101" t="s">
        <v>33</v>
      </c>
      <c r="R10" s="100"/>
    </row>
    <row r="11" spans="1:23" s="99" customFormat="1" ht="20.100000000000001" customHeight="1">
      <c r="A11" s="110">
        <v>3</v>
      </c>
      <c r="B11" s="109">
        <v>153</v>
      </c>
      <c r="C11" s="108" t="s">
        <v>99</v>
      </c>
      <c r="D11" s="107" t="s">
        <v>98</v>
      </c>
      <c r="E11" s="106" t="s">
        <v>97</v>
      </c>
      <c r="F11" s="105" t="s">
        <v>48</v>
      </c>
      <c r="G11" s="104">
        <f t="shared" si="0"/>
        <v>867</v>
      </c>
      <c r="H11" s="102">
        <v>5.39</v>
      </c>
      <c r="I11" s="102">
        <v>5.17</v>
      </c>
      <c r="J11" s="102" t="s">
        <v>79</v>
      </c>
      <c r="K11" s="103">
        <v>5</v>
      </c>
      <c r="L11" s="102">
        <v>5.32</v>
      </c>
      <c r="M11" s="102">
        <v>5.2</v>
      </c>
      <c r="N11" s="102" t="s">
        <v>79</v>
      </c>
      <c r="O11" s="86">
        <f>MAX(H11:J11,L11:N11)</f>
        <v>5.39</v>
      </c>
      <c r="P11" s="102" t="str">
        <f t="shared" si="1"/>
        <v>II A</v>
      </c>
      <c r="Q11" s="101" t="s">
        <v>96</v>
      </c>
      <c r="R11" s="100"/>
    </row>
    <row r="12" spans="1:23" s="99" customFormat="1" ht="20.100000000000001" customHeight="1">
      <c r="A12" s="110">
        <v>4</v>
      </c>
      <c r="B12" s="109">
        <v>5</v>
      </c>
      <c r="C12" s="108" t="s">
        <v>95</v>
      </c>
      <c r="D12" s="107" t="s">
        <v>94</v>
      </c>
      <c r="E12" s="106" t="s">
        <v>93</v>
      </c>
      <c r="F12" s="105" t="s">
        <v>21</v>
      </c>
      <c r="G12" s="104">
        <f t="shared" si="0"/>
        <v>828</v>
      </c>
      <c r="H12" s="102" t="s">
        <v>79</v>
      </c>
      <c r="I12" s="102" t="s">
        <v>79</v>
      </c>
      <c r="J12" s="102" t="s">
        <v>79</v>
      </c>
      <c r="K12" s="103">
        <v>1</v>
      </c>
      <c r="L12" s="102" t="s">
        <v>79</v>
      </c>
      <c r="M12" s="102" t="s">
        <v>79</v>
      </c>
      <c r="N12" s="102">
        <v>5.21</v>
      </c>
      <c r="O12" s="86">
        <f>MAX(H12:J12,L12:N12)</f>
        <v>5.21</v>
      </c>
      <c r="P12" s="102" t="str">
        <f t="shared" si="1"/>
        <v>II A</v>
      </c>
      <c r="Q12" s="101" t="s">
        <v>92</v>
      </c>
      <c r="R12" s="100"/>
    </row>
    <row r="13" spans="1:23" s="99" customFormat="1" ht="20.100000000000001" customHeight="1">
      <c r="A13" s="110">
        <v>5</v>
      </c>
      <c r="B13" s="109">
        <v>19</v>
      </c>
      <c r="C13" s="108" t="s">
        <v>91</v>
      </c>
      <c r="D13" s="107" t="s">
        <v>90</v>
      </c>
      <c r="E13" s="106" t="s">
        <v>89</v>
      </c>
      <c r="F13" s="105" t="s">
        <v>21</v>
      </c>
      <c r="G13" s="104">
        <f t="shared" si="0"/>
        <v>786</v>
      </c>
      <c r="H13" s="102">
        <v>5.01</v>
      </c>
      <c r="I13" s="102">
        <v>4.8499999999999996</v>
      </c>
      <c r="J13" s="102" t="s">
        <v>79</v>
      </c>
      <c r="K13" s="103">
        <v>3</v>
      </c>
      <c r="L13" s="102" t="s">
        <v>28</v>
      </c>
      <c r="M13" s="102">
        <v>5.01</v>
      </c>
      <c r="N13" s="102">
        <v>4.91</v>
      </c>
      <c r="O13" s="86">
        <f>MAX(H13:J13,L13:N13)</f>
        <v>5.01</v>
      </c>
      <c r="P13" s="102" t="str">
        <f t="shared" si="1"/>
        <v>III A</v>
      </c>
      <c r="Q13" s="101" t="s">
        <v>88</v>
      </c>
      <c r="R13" s="100"/>
    </row>
    <row r="14" spans="1:23" s="99" customFormat="1" ht="20.100000000000001" customHeight="1">
      <c r="A14" s="110">
        <v>6</v>
      </c>
      <c r="B14" s="109">
        <v>44</v>
      </c>
      <c r="C14" s="108" t="s">
        <v>87</v>
      </c>
      <c r="D14" s="107" t="s">
        <v>86</v>
      </c>
      <c r="E14" s="106" t="s">
        <v>85</v>
      </c>
      <c r="F14" s="105" t="s">
        <v>59</v>
      </c>
      <c r="G14" s="104">
        <f t="shared" si="0"/>
        <v>715</v>
      </c>
      <c r="H14" s="102">
        <v>4.51</v>
      </c>
      <c r="I14" s="102">
        <v>4.3</v>
      </c>
      <c r="J14" s="102">
        <v>4.68</v>
      </c>
      <c r="K14" s="103">
        <v>2</v>
      </c>
      <c r="L14" s="102" t="s">
        <v>79</v>
      </c>
      <c r="M14" s="102">
        <v>4.4000000000000004</v>
      </c>
      <c r="N14" s="102" t="s">
        <v>79</v>
      </c>
      <c r="O14" s="86">
        <f>MAX(H14:J14,L14:N14)</f>
        <v>4.68</v>
      </c>
      <c r="P14" s="102" t="str">
        <f t="shared" si="1"/>
        <v>III A</v>
      </c>
      <c r="Q14" s="101" t="s">
        <v>84</v>
      </c>
      <c r="R14" s="100"/>
    </row>
    <row r="15" spans="1:23" s="99" customFormat="1" ht="20.100000000000001" customHeight="1">
      <c r="A15" s="110" t="s">
        <v>73</v>
      </c>
      <c r="B15" s="109">
        <v>109</v>
      </c>
      <c r="C15" s="108" t="s">
        <v>83</v>
      </c>
      <c r="D15" s="107" t="s">
        <v>82</v>
      </c>
      <c r="E15" s="106" t="s">
        <v>81</v>
      </c>
      <c r="F15" s="105" t="s">
        <v>80</v>
      </c>
      <c r="G15" s="104" t="s">
        <v>73</v>
      </c>
      <c r="H15" s="102">
        <v>4.7</v>
      </c>
      <c r="I15" s="102">
        <v>4.87</v>
      </c>
      <c r="J15" s="102" t="s">
        <v>79</v>
      </c>
      <c r="K15" s="103"/>
      <c r="L15" s="102"/>
      <c r="M15" s="102"/>
      <c r="N15" s="102"/>
      <c r="O15" s="86">
        <f>MAX(H15:J15,L15:N15)</f>
        <v>4.87</v>
      </c>
      <c r="P15" s="102" t="str">
        <f t="shared" si="1"/>
        <v>III A</v>
      </c>
      <c r="Q15" s="101" t="s">
        <v>78</v>
      </c>
      <c r="R15" s="100"/>
    </row>
    <row r="16" spans="1:23" s="99" customFormat="1" ht="20.100000000000001" customHeight="1">
      <c r="A16" s="110"/>
      <c r="B16" s="109">
        <v>184</v>
      </c>
      <c r="C16" s="108" t="s">
        <v>77</v>
      </c>
      <c r="D16" s="107" t="s">
        <v>76</v>
      </c>
      <c r="E16" s="106" t="s">
        <v>75</v>
      </c>
      <c r="F16" s="105" t="s">
        <v>74</v>
      </c>
      <c r="G16" s="104" t="s">
        <v>73</v>
      </c>
      <c r="H16" s="102" t="s">
        <v>28</v>
      </c>
      <c r="I16" s="102"/>
      <c r="J16" s="102"/>
      <c r="K16" s="103"/>
      <c r="L16" s="102"/>
      <c r="M16" s="102"/>
      <c r="N16" s="102"/>
      <c r="O16" s="86" t="s">
        <v>72</v>
      </c>
      <c r="P16" s="102"/>
      <c r="Q16" s="101" t="s">
        <v>71</v>
      </c>
      <c r="R16" s="100"/>
    </row>
  </sheetData>
  <mergeCells count="1">
    <mergeCell ref="H7:N7"/>
  </mergeCells>
  <phoneticPr fontId="0" type="noConversion"/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W20"/>
  <sheetViews>
    <sheetView showZeros="0" workbookViewId="0">
      <selection activeCell="A10" sqref="A10"/>
    </sheetView>
  </sheetViews>
  <sheetFormatPr defaultRowHeight="12.75"/>
  <cols>
    <col min="1" max="1" width="5.5703125" style="12" customWidth="1"/>
    <col min="2" max="2" width="4.5703125" style="12" customWidth="1"/>
    <col min="3" max="3" width="9.85546875" style="12" customWidth="1"/>
    <col min="4" max="4" width="13.5703125" style="12" customWidth="1"/>
    <col min="5" max="5" width="8.7109375" style="74" customWidth="1"/>
    <col min="6" max="6" width="12.85546875" style="98" customWidth="1"/>
    <col min="7" max="7" width="7.5703125" style="97" customWidth="1"/>
    <col min="8" max="10" width="5.5703125" style="95" customWidth="1"/>
    <col min="11" max="11" width="4.28515625" style="96" customWidth="1"/>
    <col min="12" max="14" width="5.5703125" style="95" customWidth="1"/>
    <col min="15" max="15" width="7.28515625" style="66" customWidth="1"/>
    <col min="16" max="16" width="6.5703125" style="94" customWidth="1"/>
    <col min="17" max="17" width="26.140625" style="12" customWidth="1"/>
    <col min="18" max="18" width="4.42578125" style="210" customWidth="1"/>
    <col min="19" max="16384" width="9.140625" style="12"/>
  </cols>
  <sheetData>
    <row r="1" spans="1:23" s="94" customFormat="1" ht="20.25">
      <c r="A1" s="1" t="s">
        <v>0</v>
      </c>
      <c r="B1" s="124"/>
      <c r="C1" s="131"/>
      <c r="D1" s="124"/>
      <c r="E1" s="130"/>
      <c r="F1" s="129"/>
      <c r="G1" s="126"/>
      <c r="H1" s="125"/>
      <c r="I1" s="125"/>
      <c r="J1" s="125"/>
      <c r="K1" s="124"/>
      <c r="L1" s="125"/>
      <c r="M1" s="125"/>
      <c r="N1" s="125"/>
      <c r="O1" s="125"/>
      <c r="P1" s="124"/>
      <c r="Q1" s="124"/>
      <c r="R1" s="209"/>
    </row>
    <row r="2" spans="1:23" s="94" customFormat="1" ht="12" customHeight="1">
      <c r="A2" s="124"/>
      <c r="B2" s="124"/>
      <c r="C2" s="124"/>
      <c r="D2" s="124"/>
      <c r="E2" s="128"/>
      <c r="F2" s="127"/>
      <c r="G2" s="126"/>
      <c r="H2" s="125"/>
      <c r="I2" s="125"/>
      <c r="J2" s="125"/>
      <c r="K2" s="124"/>
      <c r="L2" s="125"/>
      <c r="M2" s="125"/>
      <c r="N2" s="125"/>
      <c r="O2" s="125"/>
      <c r="P2" s="124"/>
      <c r="Q2" s="11" t="s">
        <v>1</v>
      </c>
      <c r="R2" s="209"/>
    </row>
    <row r="3" spans="1:23" ht="12.75" customHeight="1">
      <c r="C3" s="13"/>
      <c r="L3" s="121"/>
      <c r="M3" s="121"/>
      <c r="Q3" s="29" t="s">
        <v>3</v>
      </c>
    </row>
    <row r="4" spans="1:23" ht="16.5" customHeight="1">
      <c r="C4" s="1" t="s">
        <v>230</v>
      </c>
      <c r="E4" s="122"/>
      <c r="L4" s="121"/>
      <c r="M4" s="121"/>
    </row>
    <row r="5" spans="1:23" s="96" customFormat="1" ht="2.1" customHeight="1">
      <c r="W5" s="120"/>
    </row>
    <row r="6" spans="1:23" s="96" customFormat="1" ht="2.1" customHeight="1">
      <c r="W6" s="120"/>
    </row>
    <row r="7" spans="1:23" ht="17.25" customHeight="1">
      <c r="H7" s="497" t="s">
        <v>107</v>
      </c>
      <c r="I7" s="498"/>
      <c r="J7" s="498"/>
      <c r="K7" s="498"/>
      <c r="L7" s="498"/>
      <c r="M7" s="498"/>
      <c r="N7" s="499"/>
    </row>
    <row r="8" spans="1:23" ht="22.5" customHeight="1">
      <c r="A8" s="119" t="s">
        <v>43</v>
      </c>
      <c r="B8" s="111" t="s">
        <v>6</v>
      </c>
      <c r="C8" s="118" t="s">
        <v>7</v>
      </c>
      <c r="D8" s="117" t="s">
        <v>8</v>
      </c>
      <c r="E8" s="116" t="s">
        <v>9</v>
      </c>
      <c r="F8" s="115" t="s">
        <v>10</v>
      </c>
      <c r="G8" s="114" t="s">
        <v>11</v>
      </c>
      <c r="H8" s="112">
        <v>1</v>
      </c>
      <c r="I8" s="112">
        <v>2</v>
      </c>
      <c r="J8" s="112">
        <v>3</v>
      </c>
      <c r="K8" s="113" t="s">
        <v>106</v>
      </c>
      <c r="L8" s="112">
        <v>4</v>
      </c>
      <c r="M8" s="112">
        <v>5</v>
      </c>
      <c r="N8" s="112">
        <v>6</v>
      </c>
      <c r="O8" s="86" t="s">
        <v>105</v>
      </c>
      <c r="P8" s="111" t="s">
        <v>104</v>
      </c>
      <c r="Q8" s="111" t="s">
        <v>16</v>
      </c>
      <c r="R8" s="100"/>
    </row>
    <row r="9" spans="1:23" s="99" customFormat="1" ht="20.100000000000001" customHeight="1">
      <c r="A9" s="110">
        <v>1</v>
      </c>
      <c r="B9" s="109">
        <v>124</v>
      </c>
      <c r="C9" s="108" t="s">
        <v>66</v>
      </c>
      <c r="D9" s="107" t="s">
        <v>231</v>
      </c>
      <c r="E9" s="106" t="s">
        <v>232</v>
      </c>
      <c r="F9" s="105" t="s">
        <v>26</v>
      </c>
      <c r="G9" s="104">
        <f t="shared" ref="G9:G18" si="0">IF(ISBLANK(O9),"",TRUNC(1.929*(O9+48.41)^2)-5000)</f>
        <v>894</v>
      </c>
      <c r="H9" s="102">
        <v>6.87</v>
      </c>
      <c r="I9" s="102" t="s">
        <v>79</v>
      </c>
      <c r="J9" s="102" t="s">
        <v>79</v>
      </c>
      <c r="K9" s="103">
        <v>8</v>
      </c>
      <c r="L9" s="102">
        <v>6.87</v>
      </c>
      <c r="M9" s="211">
        <v>6.73</v>
      </c>
      <c r="N9" s="211" t="s">
        <v>79</v>
      </c>
      <c r="O9" s="86">
        <f t="shared" ref="O9:O18" si="1">MAX(H9:J9,L9:N9)</f>
        <v>6.87</v>
      </c>
      <c r="P9" s="102" t="str">
        <f t="shared" ref="P9:P18" si="2">IF(ISBLANK(O9),"",IF(O9&lt;5.6,"",IF(O9&gt;=8.05,"TSM",IF(O9&gt;=7.65,"SM",IF(O9&gt;=7.2,"KSM",IF(O9&gt;=6.7,"I A",IF(O9&gt;=6.2,"II A",IF(O9&gt;=5.6,"III A"))))))))</f>
        <v>I A</v>
      </c>
      <c r="Q9" s="101" t="s">
        <v>96</v>
      </c>
      <c r="R9" s="100"/>
    </row>
    <row r="10" spans="1:23" s="99" customFormat="1" ht="20.100000000000001" customHeight="1">
      <c r="A10" s="110">
        <v>2</v>
      </c>
      <c r="B10" s="109">
        <v>62</v>
      </c>
      <c r="C10" s="108" t="s">
        <v>233</v>
      </c>
      <c r="D10" s="107" t="s">
        <v>234</v>
      </c>
      <c r="E10" s="106" t="s">
        <v>235</v>
      </c>
      <c r="F10" s="105" t="s">
        <v>236</v>
      </c>
      <c r="G10" s="104">
        <f t="shared" si="0"/>
        <v>892</v>
      </c>
      <c r="H10" s="102" t="s">
        <v>79</v>
      </c>
      <c r="I10" s="102" t="s">
        <v>79</v>
      </c>
      <c r="J10" s="102">
        <v>6.68</v>
      </c>
      <c r="K10" s="103">
        <v>6</v>
      </c>
      <c r="L10" s="102">
        <v>6.78</v>
      </c>
      <c r="M10" s="211">
        <v>6.86</v>
      </c>
      <c r="N10" s="211">
        <v>6.85</v>
      </c>
      <c r="O10" s="86">
        <f t="shared" si="1"/>
        <v>6.86</v>
      </c>
      <c r="P10" s="102" t="str">
        <f t="shared" si="2"/>
        <v>I A</v>
      </c>
      <c r="Q10" s="101" t="s">
        <v>237</v>
      </c>
      <c r="R10" s="100"/>
    </row>
    <row r="11" spans="1:23" s="99" customFormat="1" ht="20.100000000000001" customHeight="1">
      <c r="A11" s="110">
        <v>3</v>
      </c>
      <c r="B11" s="109">
        <v>1</v>
      </c>
      <c r="C11" s="108" t="s">
        <v>238</v>
      </c>
      <c r="D11" s="107" t="s">
        <v>239</v>
      </c>
      <c r="E11" s="106" t="s">
        <v>240</v>
      </c>
      <c r="F11" s="105" t="s">
        <v>21</v>
      </c>
      <c r="G11" s="104">
        <f t="shared" si="0"/>
        <v>884</v>
      </c>
      <c r="H11" s="102" t="s">
        <v>79</v>
      </c>
      <c r="I11" s="102">
        <v>6.77</v>
      </c>
      <c r="J11" s="102">
        <v>6.61</v>
      </c>
      <c r="K11" s="103">
        <v>7</v>
      </c>
      <c r="L11" s="102">
        <v>6.23</v>
      </c>
      <c r="M11" s="211">
        <v>6.82</v>
      </c>
      <c r="N11" s="211">
        <v>6.69</v>
      </c>
      <c r="O11" s="86">
        <f t="shared" si="1"/>
        <v>6.82</v>
      </c>
      <c r="P11" s="102" t="str">
        <f t="shared" si="2"/>
        <v>I A</v>
      </c>
      <c r="Q11" s="101" t="s">
        <v>241</v>
      </c>
      <c r="R11" s="100"/>
    </row>
    <row r="12" spans="1:23" s="99" customFormat="1" ht="20.100000000000001" customHeight="1">
      <c r="A12" s="110">
        <v>4</v>
      </c>
      <c r="B12" s="109">
        <v>36</v>
      </c>
      <c r="C12" s="108" t="s">
        <v>242</v>
      </c>
      <c r="D12" s="107" t="s">
        <v>243</v>
      </c>
      <c r="E12" s="106" t="s">
        <v>244</v>
      </c>
      <c r="F12" s="105" t="s">
        <v>26</v>
      </c>
      <c r="G12" s="104">
        <f t="shared" si="0"/>
        <v>858</v>
      </c>
      <c r="H12" s="102">
        <v>6.23</v>
      </c>
      <c r="I12" s="102" t="s">
        <v>79</v>
      </c>
      <c r="J12" s="102">
        <v>6.51</v>
      </c>
      <c r="K12" s="103">
        <v>5</v>
      </c>
      <c r="L12" s="102">
        <v>6.59</v>
      </c>
      <c r="M12" s="211">
        <v>6.48</v>
      </c>
      <c r="N12" s="211">
        <v>6.7</v>
      </c>
      <c r="O12" s="86">
        <f t="shared" si="1"/>
        <v>6.7</v>
      </c>
      <c r="P12" s="102" t="str">
        <f t="shared" si="2"/>
        <v>I A</v>
      </c>
      <c r="Q12" s="101" t="s">
        <v>245</v>
      </c>
      <c r="R12" s="100"/>
    </row>
    <row r="13" spans="1:23" s="99" customFormat="1" ht="20.100000000000001" customHeight="1">
      <c r="A13" s="110">
        <v>5</v>
      </c>
      <c r="B13" s="109">
        <v>116</v>
      </c>
      <c r="C13" s="108" t="s">
        <v>246</v>
      </c>
      <c r="D13" s="107" t="s">
        <v>247</v>
      </c>
      <c r="E13" s="106" t="s">
        <v>248</v>
      </c>
      <c r="F13" s="105" t="s">
        <v>172</v>
      </c>
      <c r="G13" s="104">
        <f t="shared" si="0"/>
        <v>843</v>
      </c>
      <c r="H13" s="102" t="s">
        <v>79</v>
      </c>
      <c r="I13" s="102">
        <v>6.39</v>
      </c>
      <c r="J13" s="102">
        <v>6.42</v>
      </c>
      <c r="K13" s="103">
        <v>4</v>
      </c>
      <c r="L13" s="102">
        <v>6.47</v>
      </c>
      <c r="M13" s="211">
        <v>6.63</v>
      </c>
      <c r="N13" s="211" t="s">
        <v>79</v>
      </c>
      <c r="O13" s="86">
        <f t="shared" si="1"/>
        <v>6.63</v>
      </c>
      <c r="P13" s="102" t="str">
        <f t="shared" si="2"/>
        <v>II A</v>
      </c>
      <c r="Q13" s="101" t="s">
        <v>249</v>
      </c>
      <c r="R13" s="100"/>
    </row>
    <row r="14" spans="1:23" s="99" customFormat="1" ht="20.100000000000001" customHeight="1">
      <c r="A14" s="110">
        <v>6</v>
      </c>
      <c r="B14" s="109">
        <v>101</v>
      </c>
      <c r="C14" s="108" t="s">
        <v>250</v>
      </c>
      <c r="D14" s="107" t="s">
        <v>251</v>
      </c>
      <c r="E14" s="106" t="s">
        <v>252</v>
      </c>
      <c r="F14" s="105" t="s">
        <v>32</v>
      </c>
      <c r="G14" s="104">
        <f t="shared" si="0"/>
        <v>782</v>
      </c>
      <c r="H14" s="102">
        <v>6.34</v>
      </c>
      <c r="I14" s="102" t="s">
        <v>79</v>
      </c>
      <c r="J14" s="102">
        <v>6.27</v>
      </c>
      <c r="K14" s="103">
        <v>3</v>
      </c>
      <c r="L14" s="102" t="s">
        <v>79</v>
      </c>
      <c r="M14" s="211" t="s">
        <v>79</v>
      </c>
      <c r="N14" s="211" t="s">
        <v>28</v>
      </c>
      <c r="O14" s="86">
        <f t="shared" si="1"/>
        <v>6.34</v>
      </c>
      <c r="P14" s="102" t="str">
        <f t="shared" si="2"/>
        <v>II A</v>
      </c>
      <c r="Q14" s="101" t="s">
        <v>253</v>
      </c>
      <c r="R14" s="100"/>
    </row>
    <row r="15" spans="1:23" s="99" customFormat="1" ht="20.100000000000001" customHeight="1">
      <c r="A15" s="110">
        <v>7</v>
      </c>
      <c r="B15" s="109">
        <v>141</v>
      </c>
      <c r="C15" s="108" t="s">
        <v>61</v>
      </c>
      <c r="D15" s="107" t="s">
        <v>62</v>
      </c>
      <c r="E15" s="106" t="s">
        <v>63</v>
      </c>
      <c r="F15" s="105" t="s">
        <v>48</v>
      </c>
      <c r="G15" s="104">
        <f t="shared" si="0"/>
        <v>778</v>
      </c>
      <c r="H15" s="102">
        <v>5.91</v>
      </c>
      <c r="I15" s="102">
        <v>6.32</v>
      </c>
      <c r="J15" s="102">
        <v>6.18</v>
      </c>
      <c r="K15" s="103">
        <v>2</v>
      </c>
      <c r="L15" s="102">
        <v>6.27</v>
      </c>
      <c r="M15" s="211">
        <v>6.26</v>
      </c>
      <c r="N15" s="211" t="s">
        <v>79</v>
      </c>
      <c r="O15" s="86">
        <f t="shared" si="1"/>
        <v>6.32</v>
      </c>
      <c r="P15" s="102" t="str">
        <f t="shared" si="2"/>
        <v>II A</v>
      </c>
      <c r="Q15" s="101" t="s">
        <v>64</v>
      </c>
      <c r="R15" s="100"/>
    </row>
    <row r="16" spans="1:23" s="99" customFormat="1" ht="20.100000000000001" customHeight="1">
      <c r="A16" s="110">
        <v>8</v>
      </c>
      <c r="B16" s="109">
        <v>167</v>
      </c>
      <c r="C16" s="108" t="s">
        <v>254</v>
      </c>
      <c r="D16" s="107" t="s">
        <v>255</v>
      </c>
      <c r="E16" s="106" t="s">
        <v>256</v>
      </c>
      <c r="F16" s="105" t="s">
        <v>41</v>
      </c>
      <c r="G16" s="104">
        <f t="shared" si="0"/>
        <v>733</v>
      </c>
      <c r="H16" s="102" t="s">
        <v>79</v>
      </c>
      <c r="I16" s="102" t="s">
        <v>79</v>
      </c>
      <c r="J16" s="102">
        <v>6.11</v>
      </c>
      <c r="K16" s="103">
        <v>1</v>
      </c>
      <c r="L16" s="102" t="s">
        <v>79</v>
      </c>
      <c r="M16" s="211">
        <v>6.06</v>
      </c>
      <c r="N16" s="211" t="s">
        <v>28</v>
      </c>
      <c r="O16" s="86">
        <f t="shared" si="1"/>
        <v>6.11</v>
      </c>
      <c r="P16" s="102" t="str">
        <f t="shared" si="2"/>
        <v>III A</v>
      </c>
      <c r="Q16" s="101" t="s">
        <v>257</v>
      </c>
      <c r="R16" s="100"/>
    </row>
    <row r="17" spans="1:18" s="99" customFormat="1" ht="20.100000000000001" customHeight="1">
      <c r="A17" s="110">
        <v>9</v>
      </c>
      <c r="B17" s="109">
        <v>3</v>
      </c>
      <c r="C17" s="108" t="s">
        <v>258</v>
      </c>
      <c r="D17" s="107" t="s">
        <v>259</v>
      </c>
      <c r="E17" s="106" t="s">
        <v>260</v>
      </c>
      <c r="F17" s="105" t="s">
        <v>21</v>
      </c>
      <c r="G17" s="104">
        <f t="shared" si="0"/>
        <v>717</v>
      </c>
      <c r="H17" s="102">
        <v>6.03</v>
      </c>
      <c r="I17" s="102">
        <v>5.97</v>
      </c>
      <c r="J17" s="102" t="s">
        <v>28</v>
      </c>
      <c r="K17" s="103"/>
      <c r="L17" s="102"/>
      <c r="M17" s="211"/>
      <c r="N17" s="211"/>
      <c r="O17" s="86">
        <f t="shared" si="1"/>
        <v>6.03</v>
      </c>
      <c r="P17" s="102" t="str">
        <f t="shared" si="2"/>
        <v>III A</v>
      </c>
      <c r="Q17" s="101" t="s">
        <v>159</v>
      </c>
      <c r="R17" s="100"/>
    </row>
    <row r="18" spans="1:18" s="99" customFormat="1" ht="20.100000000000001" customHeight="1">
      <c r="A18" s="110">
        <v>10</v>
      </c>
      <c r="B18" s="109">
        <v>140</v>
      </c>
      <c r="C18" s="108" t="s">
        <v>66</v>
      </c>
      <c r="D18" s="107" t="s">
        <v>261</v>
      </c>
      <c r="E18" s="106" t="s">
        <v>262</v>
      </c>
      <c r="F18" s="105" t="s">
        <v>48</v>
      </c>
      <c r="G18" s="104">
        <f t="shared" si="0"/>
        <v>675</v>
      </c>
      <c r="H18" s="102" t="s">
        <v>79</v>
      </c>
      <c r="I18" s="102">
        <v>5.83</v>
      </c>
      <c r="J18" s="102" t="s">
        <v>79</v>
      </c>
      <c r="K18" s="103"/>
      <c r="L18" s="102"/>
      <c r="M18" s="211"/>
      <c r="N18" s="211"/>
      <c r="O18" s="86">
        <f t="shared" si="1"/>
        <v>5.83</v>
      </c>
      <c r="P18" s="102" t="str">
        <f t="shared" si="2"/>
        <v>III A</v>
      </c>
      <c r="Q18" s="101" t="s">
        <v>263</v>
      </c>
      <c r="R18" s="100"/>
    </row>
    <row r="19" spans="1:18" s="99" customFormat="1" ht="20.100000000000001" customHeight="1">
      <c r="A19" s="110"/>
      <c r="B19" s="109">
        <v>154</v>
      </c>
      <c r="C19" s="108" t="s">
        <v>219</v>
      </c>
      <c r="D19" s="107" t="s">
        <v>264</v>
      </c>
      <c r="E19" s="106" t="s">
        <v>265</v>
      </c>
      <c r="F19" s="105" t="s">
        <v>48</v>
      </c>
      <c r="G19" s="212"/>
      <c r="H19" s="102" t="s">
        <v>79</v>
      </c>
      <c r="I19" s="102" t="s">
        <v>79</v>
      </c>
      <c r="J19" s="102" t="s">
        <v>79</v>
      </c>
      <c r="K19" s="103"/>
      <c r="L19" s="102"/>
      <c r="M19" s="211"/>
      <c r="N19" s="211"/>
      <c r="O19" s="86" t="s">
        <v>266</v>
      </c>
      <c r="P19" s="102"/>
      <c r="Q19" s="101" t="s">
        <v>96</v>
      </c>
      <c r="R19" s="100"/>
    </row>
    <row r="20" spans="1:18" s="99" customFormat="1" ht="20.100000000000001" customHeight="1">
      <c r="A20" s="110" t="s">
        <v>73</v>
      </c>
      <c r="B20" s="109">
        <v>114</v>
      </c>
      <c r="C20" s="108" t="s">
        <v>66</v>
      </c>
      <c r="D20" s="107" t="s">
        <v>267</v>
      </c>
      <c r="E20" s="106" t="s">
        <v>268</v>
      </c>
      <c r="F20" s="105" t="s">
        <v>269</v>
      </c>
      <c r="G20" s="104" t="s">
        <v>73</v>
      </c>
      <c r="H20" s="102" t="s">
        <v>79</v>
      </c>
      <c r="I20" s="102" t="s">
        <v>28</v>
      </c>
      <c r="J20" s="102" t="s">
        <v>28</v>
      </c>
      <c r="K20" s="103"/>
      <c r="L20" s="102"/>
      <c r="M20" s="211"/>
      <c r="N20" s="211"/>
      <c r="O20" s="86" t="s">
        <v>266</v>
      </c>
      <c r="P20" s="102"/>
      <c r="Q20" s="101" t="s">
        <v>270</v>
      </c>
      <c r="R20" s="100"/>
    </row>
  </sheetData>
  <mergeCells count="1">
    <mergeCell ref="H7:N7"/>
  </mergeCells>
  <phoneticPr fontId="0" type="noConversion"/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"/>
  <sheetViews>
    <sheetView showZeros="0" zoomScaleNormal="100" workbookViewId="0">
      <selection activeCell="A10" sqref="A10"/>
    </sheetView>
  </sheetViews>
  <sheetFormatPr defaultRowHeight="12.75"/>
  <cols>
    <col min="1" max="1" width="5.5703125" style="12" customWidth="1"/>
    <col min="2" max="2" width="4.5703125" style="12" customWidth="1"/>
    <col min="3" max="3" width="8" style="12" customWidth="1"/>
    <col min="4" max="4" width="14.7109375" style="12" customWidth="1"/>
    <col min="5" max="5" width="11.7109375" style="74" customWidth="1"/>
    <col min="6" max="6" width="8.7109375" style="98" customWidth="1"/>
    <col min="7" max="7" width="7.5703125" style="97" customWidth="1"/>
    <col min="8" max="10" width="6.140625" style="95" customWidth="1"/>
    <col min="11" max="11" width="3.85546875" style="96" customWidth="1"/>
    <col min="12" max="12" width="6.140625" style="95" customWidth="1"/>
    <col min="13" max="14" width="5.85546875" style="95" customWidth="1"/>
    <col min="15" max="15" width="7.28515625" style="66" customWidth="1"/>
    <col min="16" max="16" width="6.5703125" style="94" customWidth="1"/>
    <col min="17" max="17" width="28.85546875" style="12" customWidth="1"/>
    <col min="18" max="18" width="5.28515625" style="12" customWidth="1"/>
    <col min="19" max="16384" width="9.140625" style="12"/>
  </cols>
  <sheetData>
    <row r="1" spans="1:23" s="94" customFormat="1" ht="20.25">
      <c r="A1" s="1" t="s">
        <v>0</v>
      </c>
      <c r="B1" s="124"/>
      <c r="C1" s="131"/>
      <c r="D1" s="124"/>
      <c r="E1" s="130"/>
      <c r="F1" s="129"/>
      <c r="G1" s="126"/>
      <c r="H1" s="125"/>
      <c r="I1" s="125"/>
      <c r="J1" s="125"/>
      <c r="K1" s="124"/>
      <c r="L1" s="125"/>
      <c r="M1" s="125"/>
      <c r="N1" s="125"/>
      <c r="O1" s="125"/>
      <c r="P1" s="124"/>
      <c r="Q1" s="124"/>
    </row>
    <row r="2" spans="1:23" s="94" customFormat="1" ht="12" customHeight="1">
      <c r="A2" s="124"/>
      <c r="B2" s="124"/>
      <c r="C2" s="124"/>
      <c r="D2" s="124"/>
      <c r="E2" s="128"/>
      <c r="F2" s="127"/>
      <c r="G2" s="126"/>
      <c r="H2" s="125"/>
      <c r="I2" s="125"/>
      <c r="J2" s="125"/>
      <c r="K2" s="124"/>
      <c r="L2" s="125"/>
      <c r="M2" s="125"/>
      <c r="N2" s="125"/>
      <c r="O2" s="125"/>
      <c r="P2" s="124"/>
      <c r="Q2" s="11" t="s">
        <v>1</v>
      </c>
    </row>
    <row r="3" spans="1:23" ht="12.75" customHeight="1">
      <c r="C3" s="13"/>
      <c r="L3" s="121"/>
      <c r="M3" s="121"/>
      <c r="Q3" s="29" t="s">
        <v>3</v>
      </c>
    </row>
    <row r="4" spans="1:23" ht="16.5" customHeight="1">
      <c r="C4" s="1" t="s">
        <v>279</v>
      </c>
      <c r="E4" s="122"/>
      <c r="L4" s="121"/>
      <c r="M4" s="121"/>
      <c r="Q4" s="226"/>
    </row>
    <row r="5" spans="1:23" s="96" customFormat="1" ht="2.1" customHeight="1">
      <c r="W5" s="120"/>
    </row>
    <row r="6" spans="1:23" s="96" customFormat="1" ht="2.1" customHeight="1">
      <c r="W6" s="120"/>
    </row>
    <row r="7" spans="1:23">
      <c r="H7" s="497" t="s">
        <v>107</v>
      </c>
      <c r="I7" s="498"/>
      <c r="J7" s="498"/>
      <c r="K7" s="498"/>
      <c r="L7" s="498"/>
      <c r="M7" s="498"/>
      <c r="N7" s="499"/>
    </row>
    <row r="8" spans="1:23" ht="22.5" customHeight="1">
      <c r="A8" s="227" t="s">
        <v>43</v>
      </c>
      <c r="B8" s="228" t="s">
        <v>6</v>
      </c>
      <c r="C8" s="229" t="s">
        <v>7</v>
      </c>
      <c r="D8" s="230" t="s">
        <v>8</v>
      </c>
      <c r="E8" s="231" t="s">
        <v>9</v>
      </c>
      <c r="F8" s="232" t="s">
        <v>10</v>
      </c>
      <c r="G8" s="233" t="s">
        <v>11</v>
      </c>
      <c r="H8" s="234">
        <v>1</v>
      </c>
      <c r="I8" s="234">
        <v>2</v>
      </c>
      <c r="J8" s="234">
        <v>3</v>
      </c>
      <c r="K8" s="235" t="s">
        <v>106</v>
      </c>
      <c r="L8" s="234">
        <v>4</v>
      </c>
      <c r="M8" s="234">
        <v>5</v>
      </c>
      <c r="N8" s="234">
        <v>6</v>
      </c>
      <c r="O8" s="236" t="s">
        <v>105</v>
      </c>
      <c r="P8" s="228" t="s">
        <v>104</v>
      </c>
      <c r="Q8" s="228" t="s">
        <v>16</v>
      </c>
      <c r="R8" s="237"/>
    </row>
    <row r="9" spans="1:23" s="99" customFormat="1" ht="20.100000000000001" customHeight="1">
      <c r="A9" s="110">
        <v>1</v>
      </c>
      <c r="B9" s="238">
        <v>64</v>
      </c>
      <c r="C9" s="239" t="s">
        <v>178</v>
      </c>
      <c r="D9" s="240" t="s">
        <v>280</v>
      </c>
      <c r="E9" s="241" t="s">
        <v>281</v>
      </c>
      <c r="F9" s="242" t="s">
        <v>26</v>
      </c>
      <c r="G9" s="85">
        <f>IF(ISBLANK(O9),"",TRUNC(0.4282*(O9+105.53)^2)-5000)</f>
        <v>925</v>
      </c>
      <c r="H9" s="243" t="s">
        <v>282</v>
      </c>
      <c r="I9" s="243" t="s">
        <v>282</v>
      </c>
      <c r="J9" s="243">
        <v>12.1</v>
      </c>
      <c r="K9" s="244">
        <v>4</v>
      </c>
      <c r="L9" s="243" t="s">
        <v>282</v>
      </c>
      <c r="M9" s="243">
        <v>11.39</v>
      </c>
      <c r="N9" s="243">
        <v>12.11</v>
      </c>
      <c r="O9" s="236">
        <f>MAX(H9:J9,L9:N9)</f>
        <v>12.11</v>
      </c>
      <c r="P9" s="243" t="str">
        <f>IF(ISBLANK(O9),"",IF(O9&lt;10.4,"",IF(O9&gt;=14,"TSM",IF(O9&gt;=13.45,"SM",IF(O9&gt;=12.8,"KSM",IF(O9&gt;=12,"I A",IF(O9&gt;=11.2,"II A",IF(O9&gt;=10.4,"III A"))))))))</f>
        <v>I A</v>
      </c>
      <c r="Q9" s="245" t="s">
        <v>283</v>
      </c>
      <c r="R9" s="100"/>
    </row>
    <row r="10" spans="1:23" s="99" customFormat="1" ht="20.100000000000001" customHeight="1">
      <c r="A10" s="110">
        <v>2</v>
      </c>
      <c r="B10" s="238">
        <v>153</v>
      </c>
      <c r="C10" s="239" t="s">
        <v>99</v>
      </c>
      <c r="D10" s="240" t="s">
        <v>98</v>
      </c>
      <c r="E10" s="241" t="s">
        <v>97</v>
      </c>
      <c r="F10" s="242" t="s">
        <v>48</v>
      </c>
      <c r="G10" s="85">
        <f>IF(ISBLANK(O10),"",TRUNC(0.4282*(O10+105.53)^2)-5000)</f>
        <v>912</v>
      </c>
      <c r="H10" s="243" t="s">
        <v>282</v>
      </c>
      <c r="I10" s="243">
        <v>11.98</v>
      </c>
      <c r="J10" s="243" t="s">
        <v>282</v>
      </c>
      <c r="K10" s="244">
        <v>3</v>
      </c>
      <c r="L10" s="243" t="s">
        <v>282</v>
      </c>
      <c r="M10" s="243" t="s">
        <v>282</v>
      </c>
      <c r="N10" s="243" t="s">
        <v>282</v>
      </c>
      <c r="O10" s="236">
        <f>MAX(H10:J10,L10:N10)</f>
        <v>11.98</v>
      </c>
      <c r="P10" s="243" t="str">
        <f>IF(ISBLANK(O10),"",IF(O10&lt;10.4,"",IF(O10&gt;=14,"TSM",IF(O10&gt;=13.45,"SM",IF(O10&gt;=12.8,"KSM",IF(O10&gt;=12,"I A",IF(O10&gt;=11.2,"II A",IF(O10&gt;=10.4,"III A"))))))))</f>
        <v>II A</v>
      </c>
      <c r="Q10" s="245" t="s">
        <v>96</v>
      </c>
      <c r="R10" s="100"/>
    </row>
    <row r="11" spans="1:23" s="99" customFormat="1" ht="20.100000000000001" customHeight="1">
      <c r="A11" s="110">
        <v>3</v>
      </c>
      <c r="B11" s="238">
        <v>14</v>
      </c>
      <c r="C11" s="239" t="s">
        <v>284</v>
      </c>
      <c r="D11" s="240" t="s">
        <v>285</v>
      </c>
      <c r="E11" s="241" t="s">
        <v>286</v>
      </c>
      <c r="F11" s="242" t="s">
        <v>21</v>
      </c>
      <c r="G11" s="85">
        <f>IF(ISBLANK(O11),"",TRUNC(0.4282*(O11+105.53)^2)-5000)</f>
        <v>907</v>
      </c>
      <c r="H11" s="243">
        <v>11.93</v>
      </c>
      <c r="I11" s="243" t="s">
        <v>282</v>
      </c>
      <c r="J11" s="243">
        <v>11.75</v>
      </c>
      <c r="K11" s="244">
        <v>2</v>
      </c>
      <c r="L11" s="243">
        <v>11.84</v>
      </c>
      <c r="M11" s="243" t="s">
        <v>282</v>
      </c>
      <c r="N11" s="243" t="s">
        <v>282</v>
      </c>
      <c r="O11" s="236">
        <f>MAX(H11:J11,L11:N11)</f>
        <v>11.93</v>
      </c>
      <c r="P11" s="243" t="str">
        <f>IF(ISBLANK(O11),"",IF(O11&lt;10.4,"",IF(O11&gt;=14,"TSM",IF(O11&gt;=13.45,"SM",IF(O11&gt;=12.8,"KSM",IF(O11&gt;=12,"I A",IF(O11&gt;=11.2,"II A",IF(O11&gt;=10.4,"III A"))))))))</f>
        <v>II A</v>
      </c>
      <c r="Q11" s="101" t="s">
        <v>287</v>
      </c>
      <c r="R11" s="100"/>
    </row>
    <row r="12" spans="1:23" s="99" customFormat="1" ht="20.100000000000001" customHeight="1">
      <c r="A12" s="110">
        <v>4</v>
      </c>
      <c r="B12" s="238">
        <v>5</v>
      </c>
      <c r="C12" s="239" t="s">
        <v>95</v>
      </c>
      <c r="D12" s="240" t="s">
        <v>94</v>
      </c>
      <c r="E12" s="241" t="s">
        <v>93</v>
      </c>
      <c r="F12" s="242" t="s">
        <v>21</v>
      </c>
      <c r="G12" s="85">
        <f>IF(ISBLANK(O12),"",TRUNC(0.4282*(O12+105.53)^2)-5000)</f>
        <v>809</v>
      </c>
      <c r="H12" s="243">
        <v>10.65</v>
      </c>
      <c r="I12" s="243">
        <v>10.86</v>
      </c>
      <c r="J12" s="243">
        <v>10.95</v>
      </c>
      <c r="K12" s="244">
        <v>1</v>
      </c>
      <c r="L12" s="243">
        <v>10.87</v>
      </c>
      <c r="M12" s="243">
        <v>9.86</v>
      </c>
      <c r="N12" s="243" t="s">
        <v>282</v>
      </c>
      <c r="O12" s="236">
        <f>MAX(H12:J12,L12:N12)</f>
        <v>10.95</v>
      </c>
      <c r="P12" s="243" t="str">
        <f>IF(ISBLANK(O12),"",IF(O12&lt;10.4,"",IF(O12&gt;=14,"TSM",IF(O12&gt;=13.45,"SM",IF(O12&gt;=12.8,"KSM",IF(O12&gt;=12,"I A",IF(O12&gt;=11.2,"II A",IF(O12&gt;=10.4,"III A"))))))))</f>
        <v>III A</v>
      </c>
      <c r="Q12" s="245" t="s">
        <v>92</v>
      </c>
      <c r="R12" s="100"/>
    </row>
    <row r="13" spans="1:23" s="99" customFormat="1" ht="20.100000000000001" customHeight="1">
      <c r="A13" s="110" t="s">
        <v>73</v>
      </c>
      <c r="B13" s="238">
        <v>130</v>
      </c>
      <c r="C13" s="239" t="s">
        <v>288</v>
      </c>
      <c r="D13" s="240" t="s">
        <v>289</v>
      </c>
      <c r="E13" s="241" t="s">
        <v>290</v>
      </c>
      <c r="F13" s="242" t="s">
        <v>145</v>
      </c>
      <c r="G13" s="85" t="s">
        <v>73</v>
      </c>
      <c r="H13" s="243">
        <v>10.16</v>
      </c>
      <c r="I13" s="243" t="s">
        <v>282</v>
      </c>
      <c r="J13" s="243" t="s">
        <v>282</v>
      </c>
      <c r="K13" s="244"/>
      <c r="L13" s="243"/>
      <c r="M13" s="243"/>
      <c r="N13" s="243"/>
      <c r="O13" s="236">
        <f>MAX(H13:J13,L13:N13)</f>
        <v>10.16</v>
      </c>
      <c r="P13" s="243" t="str">
        <f>IF(ISBLANK(O13),"",IF(O13&lt;10.4,"",IF(O13&gt;=14,"TSM",IF(O13&gt;=13.45,"SM",IF(O13&gt;=12.8,"KSM",IF(O13&gt;=12,"I A",IF(O13&gt;=11.2,"II A",IF(O13&gt;=10.4,"III A"))))))))</f>
        <v/>
      </c>
      <c r="Q13" s="245" t="s">
        <v>291</v>
      </c>
      <c r="R13" s="100"/>
    </row>
  </sheetData>
  <mergeCells count="1">
    <mergeCell ref="H7:N7"/>
  </mergeCells>
  <phoneticPr fontId="0" type="noConversion"/>
  <printOptions horizontalCentered="1"/>
  <pageMargins left="0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W16"/>
  <sheetViews>
    <sheetView showZeros="0" zoomScaleNormal="100" workbookViewId="0">
      <selection activeCell="A10" sqref="A10"/>
    </sheetView>
  </sheetViews>
  <sheetFormatPr defaultRowHeight="12.75"/>
  <cols>
    <col min="1" max="1" width="5.5703125" style="12" customWidth="1"/>
    <col min="2" max="2" width="4.5703125" style="12" customWidth="1"/>
    <col min="3" max="3" width="13.140625" style="12" customWidth="1"/>
    <col min="4" max="4" width="16.5703125" style="12" customWidth="1"/>
    <col min="5" max="5" width="10.5703125" style="74" customWidth="1"/>
    <col min="6" max="6" width="9.5703125" style="98" customWidth="1"/>
    <col min="7" max="7" width="7.5703125" style="97" customWidth="1"/>
    <col min="8" max="10" width="5.5703125" style="95" customWidth="1"/>
    <col min="11" max="11" width="3.42578125" style="96" customWidth="1"/>
    <col min="12" max="14" width="5.5703125" style="95" customWidth="1"/>
    <col min="15" max="15" width="7.28515625" style="66" customWidth="1"/>
    <col min="16" max="16" width="6.5703125" style="94" customWidth="1"/>
    <col min="17" max="17" width="23.5703125" style="12" customWidth="1"/>
    <col min="18" max="18" width="5.28515625" style="12" customWidth="1"/>
    <col min="19" max="16384" width="9.140625" style="12"/>
  </cols>
  <sheetData>
    <row r="1" spans="1:23" s="94" customFormat="1" ht="20.25">
      <c r="A1" s="1" t="s">
        <v>0</v>
      </c>
      <c r="B1" s="124"/>
      <c r="C1" s="131"/>
      <c r="D1" s="124"/>
      <c r="E1" s="130"/>
      <c r="F1" s="129"/>
      <c r="G1" s="126"/>
      <c r="H1" s="125"/>
      <c r="I1" s="125"/>
      <c r="J1" s="125"/>
      <c r="K1" s="124"/>
      <c r="L1" s="125"/>
      <c r="M1" s="125"/>
      <c r="N1" s="125"/>
      <c r="O1" s="125"/>
      <c r="P1" s="124"/>
      <c r="Q1" s="124"/>
    </row>
    <row r="2" spans="1:23" s="94" customFormat="1" ht="12" customHeight="1">
      <c r="A2" s="124"/>
      <c r="B2" s="124"/>
      <c r="C2" s="124"/>
      <c r="D2" s="124"/>
      <c r="E2" s="128"/>
      <c r="F2" s="127"/>
      <c r="G2" s="126"/>
      <c r="H2" s="125"/>
      <c r="I2" s="125"/>
      <c r="J2" s="125"/>
      <c r="K2" s="124"/>
      <c r="L2" s="125"/>
      <c r="M2" s="125"/>
      <c r="N2" s="125"/>
      <c r="O2" s="125"/>
      <c r="P2" s="124"/>
      <c r="Q2" s="11" t="s">
        <v>1</v>
      </c>
    </row>
    <row r="3" spans="1:23" ht="12.75" customHeight="1">
      <c r="C3" s="13"/>
      <c r="L3" s="121"/>
      <c r="M3" s="121"/>
      <c r="Q3" s="29" t="s">
        <v>3</v>
      </c>
    </row>
    <row r="4" spans="1:23" ht="16.5" customHeight="1">
      <c r="C4" s="1" t="s">
        <v>626</v>
      </c>
      <c r="E4" s="122"/>
      <c r="L4" s="121"/>
      <c r="M4" s="121"/>
      <c r="Q4" s="226"/>
    </row>
    <row r="5" spans="1:23" s="96" customFormat="1" ht="2.1" customHeight="1">
      <c r="W5" s="120"/>
    </row>
    <row r="6" spans="1:23" s="96" customFormat="1" ht="2.1" customHeight="1">
      <c r="W6" s="120"/>
    </row>
    <row r="7" spans="1:23">
      <c r="H7" s="497" t="s">
        <v>107</v>
      </c>
      <c r="I7" s="498"/>
      <c r="J7" s="498"/>
      <c r="K7" s="498"/>
      <c r="L7" s="498"/>
      <c r="M7" s="498"/>
      <c r="N7" s="499"/>
    </row>
    <row r="8" spans="1:23" ht="22.5" customHeight="1">
      <c r="A8" s="119" t="s">
        <v>43</v>
      </c>
      <c r="B8" s="111" t="s">
        <v>6</v>
      </c>
      <c r="C8" s="118" t="s">
        <v>7</v>
      </c>
      <c r="D8" s="117" t="s">
        <v>8</v>
      </c>
      <c r="E8" s="116" t="s">
        <v>9</v>
      </c>
      <c r="F8" s="115" t="s">
        <v>10</v>
      </c>
      <c r="G8" s="114" t="s">
        <v>11</v>
      </c>
      <c r="H8" s="112">
        <v>1</v>
      </c>
      <c r="I8" s="112">
        <v>2</v>
      </c>
      <c r="J8" s="112">
        <v>3</v>
      </c>
      <c r="K8" s="113" t="s">
        <v>106</v>
      </c>
      <c r="L8" s="112">
        <v>4</v>
      </c>
      <c r="M8" s="112">
        <v>5</v>
      </c>
      <c r="N8" s="112">
        <v>6</v>
      </c>
      <c r="O8" s="86" t="s">
        <v>105</v>
      </c>
      <c r="P8" s="111" t="s">
        <v>104</v>
      </c>
      <c r="Q8" s="111" t="s">
        <v>16</v>
      </c>
    </row>
    <row r="9" spans="1:23" s="99" customFormat="1" ht="20.100000000000001" customHeight="1">
      <c r="A9" s="110">
        <v>1</v>
      </c>
      <c r="B9" s="109">
        <v>62</v>
      </c>
      <c r="C9" s="108" t="s">
        <v>233</v>
      </c>
      <c r="D9" s="107" t="s">
        <v>234</v>
      </c>
      <c r="E9" s="106" t="s">
        <v>235</v>
      </c>
      <c r="F9" s="105" t="s">
        <v>236</v>
      </c>
      <c r="G9" s="104">
        <f t="shared" ref="G9:G16" si="0">IF(ISBLANK(O9),"",TRUNC(0.4611*(O9+98.63)^2)-5000)</f>
        <v>913</v>
      </c>
      <c r="H9" s="102">
        <v>14.3</v>
      </c>
      <c r="I9" s="102">
        <v>14.41</v>
      </c>
      <c r="J9" s="102">
        <v>13.92</v>
      </c>
      <c r="K9" s="103">
        <v>8</v>
      </c>
      <c r="L9" s="102">
        <v>14.62</v>
      </c>
      <c r="M9" s="102">
        <v>14.32</v>
      </c>
      <c r="N9" s="102">
        <v>14.45</v>
      </c>
      <c r="O9" s="86">
        <f t="shared" ref="O9:O16" si="1">MAX(H9:J9,L9:N9)</f>
        <v>14.62</v>
      </c>
      <c r="P9" s="102" t="str">
        <f t="shared" ref="P9:P16" si="2">IF(ISBLANK(O9),"",IF(O9&lt;12.2,"",IF(O9&gt;=16.65,"TSM",IF(O9&gt;=16.1,"SM",IF(O9&gt;=15.2,"KSM",IF(O9&gt;=14.2,"I A",IF(O9&gt;=13.2,"II A",IF(O9&gt;=12.2,"III A"))))))))</f>
        <v>I A</v>
      </c>
      <c r="Q9" s="362" t="s">
        <v>237</v>
      </c>
      <c r="R9" s="100"/>
    </row>
    <row r="10" spans="1:23" s="99" customFormat="1" ht="20.100000000000001" customHeight="1">
      <c r="A10" s="110">
        <v>2</v>
      </c>
      <c r="B10" s="109">
        <v>124</v>
      </c>
      <c r="C10" s="108" t="s">
        <v>66</v>
      </c>
      <c r="D10" s="107" t="s">
        <v>231</v>
      </c>
      <c r="E10" s="106" t="s">
        <v>232</v>
      </c>
      <c r="F10" s="105" t="s">
        <v>26</v>
      </c>
      <c r="G10" s="104">
        <f t="shared" si="0"/>
        <v>902</v>
      </c>
      <c r="H10" s="102">
        <v>14.16</v>
      </c>
      <c r="I10" s="102">
        <v>14.26</v>
      </c>
      <c r="J10" s="102">
        <v>14.24</v>
      </c>
      <c r="K10" s="103">
        <v>7</v>
      </c>
      <c r="L10" s="102">
        <v>13.87</v>
      </c>
      <c r="M10" s="102">
        <v>14.43</v>
      </c>
      <c r="N10" s="102">
        <v>14.51</v>
      </c>
      <c r="O10" s="86">
        <f t="shared" si="1"/>
        <v>14.51</v>
      </c>
      <c r="P10" s="102" t="str">
        <f t="shared" si="2"/>
        <v>I A</v>
      </c>
      <c r="Q10" s="101" t="s">
        <v>96</v>
      </c>
      <c r="R10" s="100"/>
    </row>
    <row r="11" spans="1:23" s="99" customFormat="1" ht="20.100000000000001" customHeight="1">
      <c r="A11" s="110">
        <v>3</v>
      </c>
      <c r="B11" s="109">
        <v>116</v>
      </c>
      <c r="C11" s="108" t="s">
        <v>246</v>
      </c>
      <c r="D11" s="107" t="s">
        <v>247</v>
      </c>
      <c r="E11" s="106" t="s">
        <v>248</v>
      </c>
      <c r="F11" s="105" t="s">
        <v>172</v>
      </c>
      <c r="G11" s="104">
        <f t="shared" si="0"/>
        <v>879</v>
      </c>
      <c r="H11" s="102">
        <v>14.1</v>
      </c>
      <c r="I11" s="102">
        <v>14.11</v>
      </c>
      <c r="J11" s="102" t="s">
        <v>79</v>
      </c>
      <c r="K11" s="103">
        <v>6</v>
      </c>
      <c r="L11" s="102">
        <v>14.16</v>
      </c>
      <c r="M11" s="102" t="s">
        <v>79</v>
      </c>
      <c r="N11" s="102">
        <v>14.29</v>
      </c>
      <c r="O11" s="86">
        <f t="shared" si="1"/>
        <v>14.29</v>
      </c>
      <c r="P11" s="102" t="str">
        <f t="shared" si="2"/>
        <v>I A</v>
      </c>
      <c r="Q11" s="101" t="s">
        <v>249</v>
      </c>
      <c r="R11" s="100"/>
    </row>
    <row r="12" spans="1:23" s="99" customFormat="1" ht="20.100000000000001" customHeight="1">
      <c r="A12" s="110">
        <v>4</v>
      </c>
      <c r="B12" s="109">
        <v>1</v>
      </c>
      <c r="C12" s="108" t="s">
        <v>238</v>
      </c>
      <c r="D12" s="107" t="s">
        <v>239</v>
      </c>
      <c r="E12" s="106" t="s">
        <v>240</v>
      </c>
      <c r="F12" s="105" t="s">
        <v>21</v>
      </c>
      <c r="G12" s="104">
        <f t="shared" si="0"/>
        <v>845</v>
      </c>
      <c r="H12" s="102">
        <v>13.91</v>
      </c>
      <c r="I12" s="102">
        <v>13.96</v>
      </c>
      <c r="J12" s="102" t="s">
        <v>79</v>
      </c>
      <c r="K12" s="103">
        <v>5</v>
      </c>
      <c r="L12" s="102" t="s">
        <v>79</v>
      </c>
      <c r="M12" s="102" t="s">
        <v>28</v>
      </c>
      <c r="N12" s="102" t="s">
        <v>28</v>
      </c>
      <c r="O12" s="86">
        <f t="shared" si="1"/>
        <v>13.96</v>
      </c>
      <c r="P12" s="102" t="str">
        <f t="shared" si="2"/>
        <v>II A</v>
      </c>
      <c r="Q12" s="101" t="s">
        <v>241</v>
      </c>
      <c r="R12" s="100"/>
    </row>
    <row r="13" spans="1:23" s="99" customFormat="1" ht="20.100000000000001" customHeight="1">
      <c r="A13" s="110">
        <v>5</v>
      </c>
      <c r="B13" s="109">
        <v>154</v>
      </c>
      <c r="C13" s="108" t="s">
        <v>219</v>
      </c>
      <c r="D13" s="107" t="s">
        <v>264</v>
      </c>
      <c r="E13" s="106" t="s">
        <v>265</v>
      </c>
      <c r="F13" s="105" t="s">
        <v>48</v>
      </c>
      <c r="G13" s="104">
        <f t="shared" si="0"/>
        <v>828</v>
      </c>
      <c r="H13" s="102">
        <v>13.77</v>
      </c>
      <c r="I13" s="102">
        <v>13.8</v>
      </c>
      <c r="J13" s="102" t="s">
        <v>79</v>
      </c>
      <c r="K13" s="103">
        <v>4</v>
      </c>
      <c r="L13" s="102" t="s">
        <v>79</v>
      </c>
      <c r="M13" s="102" t="s">
        <v>28</v>
      </c>
      <c r="N13" s="102" t="s">
        <v>28</v>
      </c>
      <c r="O13" s="86">
        <f t="shared" si="1"/>
        <v>13.8</v>
      </c>
      <c r="P13" s="102" t="str">
        <f t="shared" si="2"/>
        <v>II A</v>
      </c>
      <c r="Q13" s="101" t="s">
        <v>96</v>
      </c>
      <c r="R13" s="100"/>
    </row>
    <row r="14" spans="1:23" s="99" customFormat="1" ht="20.100000000000001" customHeight="1">
      <c r="A14" s="110">
        <v>6</v>
      </c>
      <c r="B14" s="109">
        <v>101</v>
      </c>
      <c r="C14" s="108" t="s">
        <v>250</v>
      </c>
      <c r="D14" s="107" t="s">
        <v>251</v>
      </c>
      <c r="E14" s="106" t="s">
        <v>252</v>
      </c>
      <c r="F14" s="105" t="s">
        <v>32</v>
      </c>
      <c r="G14" s="104">
        <f t="shared" si="0"/>
        <v>818</v>
      </c>
      <c r="H14" s="102">
        <v>12.72</v>
      </c>
      <c r="I14" s="102">
        <v>13.29</v>
      </c>
      <c r="J14" s="102">
        <v>13.33</v>
      </c>
      <c r="K14" s="103">
        <v>1</v>
      </c>
      <c r="L14" s="102">
        <v>13.24</v>
      </c>
      <c r="M14" s="102">
        <v>13.25</v>
      </c>
      <c r="N14" s="102">
        <v>13.7</v>
      </c>
      <c r="O14" s="86">
        <f t="shared" si="1"/>
        <v>13.7</v>
      </c>
      <c r="P14" s="102" t="str">
        <f t="shared" si="2"/>
        <v>II A</v>
      </c>
      <c r="Q14" s="101" t="s">
        <v>253</v>
      </c>
      <c r="R14" s="100"/>
    </row>
    <row r="15" spans="1:23" s="99" customFormat="1" ht="20.100000000000001" customHeight="1">
      <c r="A15" s="110">
        <v>7</v>
      </c>
      <c r="B15" s="109">
        <v>3</v>
      </c>
      <c r="C15" s="108" t="s">
        <v>258</v>
      </c>
      <c r="D15" s="107" t="s">
        <v>259</v>
      </c>
      <c r="E15" s="106" t="s">
        <v>260</v>
      </c>
      <c r="F15" s="105" t="s">
        <v>21</v>
      </c>
      <c r="G15" s="104">
        <f t="shared" si="0"/>
        <v>785</v>
      </c>
      <c r="H15" s="102">
        <v>13.38</v>
      </c>
      <c r="I15" s="102" t="s">
        <v>28</v>
      </c>
      <c r="J15" s="102" t="s">
        <v>28</v>
      </c>
      <c r="K15" s="103">
        <v>3</v>
      </c>
      <c r="L15" s="102">
        <v>12.95</v>
      </c>
      <c r="M15" s="102" t="s">
        <v>28</v>
      </c>
      <c r="N15" s="102" t="s">
        <v>28</v>
      </c>
      <c r="O15" s="86">
        <f t="shared" si="1"/>
        <v>13.38</v>
      </c>
      <c r="P15" s="102" t="str">
        <f t="shared" si="2"/>
        <v>II A</v>
      </c>
      <c r="Q15" s="101" t="s">
        <v>159</v>
      </c>
      <c r="R15" s="100"/>
    </row>
    <row r="16" spans="1:23" s="99" customFormat="1" ht="20.100000000000001" customHeight="1">
      <c r="A16" s="110">
        <v>8</v>
      </c>
      <c r="B16" s="109">
        <v>49</v>
      </c>
      <c r="C16" s="108" t="s">
        <v>238</v>
      </c>
      <c r="D16" s="107" t="s">
        <v>392</v>
      </c>
      <c r="E16" s="106" t="s">
        <v>393</v>
      </c>
      <c r="F16" s="105" t="s">
        <v>59</v>
      </c>
      <c r="G16" s="104">
        <f t="shared" si="0"/>
        <v>781</v>
      </c>
      <c r="H16" s="102" t="s">
        <v>79</v>
      </c>
      <c r="I16" s="102">
        <v>13.35</v>
      </c>
      <c r="J16" s="102">
        <v>13.34</v>
      </c>
      <c r="K16" s="103">
        <v>2</v>
      </c>
      <c r="L16" s="102" t="s">
        <v>79</v>
      </c>
      <c r="M16" s="102" t="s">
        <v>28</v>
      </c>
      <c r="N16" s="102" t="s">
        <v>79</v>
      </c>
      <c r="O16" s="86">
        <f t="shared" si="1"/>
        <v>13.35</v>
      </c>
      <c r="P16" s="102" t="str">
        <f t="shared" si="2"/>
        <v>II A</v>
      </c>
      <c r="Q16" s="101" t="s">
        <v>394</v>
      </c>
      <c r="R16" s="100"/>
    </row>
  </sheetData>
  <mergeCells count="1">
    <mergeCell ref="H7:N7"/>
  </mergeCells>
  <phoneticPr fontId="0" type="noConversion"/>
  <printOptions horizontalCentered="1"/>
  <pageMargins left="0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IL26"/>
  <sheetViews>
    <sheetView zoomScale="120" zoomScaleNormal="12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7.5703125" style="27" customWidth="1"/>
    <col min="8" max="8" width="7" style="66" customWidth="1"/>
    <col min="9" max="9" width="4.7109375" style="67" customWidth="1"/>
    <col min="10" max="10" width="7" style="66" customWidth="1"/>
    <col min="11" max="11" width="4.7109375" style="67" customWidth="1"/>
    <col min="12" max="12" width="5.140625" style="28" customWidth="1"/>
    <col min="13" max="13" width="27.7109375" style="23" customWidth="1"/>
    <col min="14" max="14" width="4.7109375" style="192" hidden="1" customWidth="1"/>
    <col min="15" max="15" width="5.28515625" style="191" hidden="1" customWidth="1"/>
    <col min="16" max="17" width="3.5703125" style="192" hidden="1" customWidth="1"/>
    <col min="18" max="245" width="9.140625" style="23"/>
    <col min="246" max="16384" width="9.140625" style="70"/>
  </cols>
  <sheetData>
    <row r="1" spans="1:246" s="2" customFormat="1" ht="18.75">
      <c r="A1" s="1" t="s">
        <v>0</v>
      </c>
      <c r="E1" s="3"/>
      <c r="F1" s="4"/>
      <c r="G1" s="5"/>
      <c r="H1" s="66"/>
      <c r="I1" s="67"/>
      <c r="J1" s="66"/>
      <c r="K1" s="67"/>
      <c r="L1" s="3"/>
      <c r="N1" s="190"/>
      <c r="O1" s="191"/>
      <c r="P1" s="190"/>
      <c r="Q1" s="190"/>
      <c r="IL1" s="70"/>
    </row>
    <row r="2" spans="1:246" s="2" customFormat="1" ht="13.5" customHeight="1">
      <c r="E2" s="3"/>
      <c r="F2" s="4"/>
      <c r="G2" s="5"/>
      <c r="H2" s="66"/>
      <c r="I2" s="67"/>
      <c r="J2" s="66"/>
      <c r="K2" s="67"/>
      <c r="L2" s="3"/>
      <c r="M2" s="11" t="s">
        <v>1</v>
      </c>
      <c r="N2" s="190"/>
      <c r="O2" s="191"/>
      <c r="P2" s="190"/>
      <c r="Q2" s="190"/>
      <c r="IL2" s="70"/>
    </row>
    <row r="3" spans="1:246" s="12" customFormat="1" ht="4.5" customHeight="1">
      <c r="C3" s="13"/>
      <c r="E3" s="14"/>
      <c r="F3" s="15"/>
      <c r="G3" s="71"/>
      <c r="H3" s="72"/>
      <c r="I3" s="73"/>
      <c r="J3" s="121"/>
      <c r="K3" s="73"/>
      <c r="L3" s="74"/>
      <c r="M3" s="20"/>
      <c r="N3" s="192"/>
      <c r="O3" s="191"/>
      <c r="P3" s="192"/>
      <c r="Q3" s="192"/>
    </row>
    <row r="4" spans="1:246" ht="15.75">
      <c r="C4" s="24" t="s">
        <v>139</v>
      </c>
      <c r="E4" s="25"/>
      <c r="F4" s="26"/>
      <c r="M4" s="29" t="s">
        <v>3</v>
      </c>
    </row>
    <row r="5" spans="1:246" s="12" customFormat="1" ht="4.5" customHeight="1">
      <c r="C5" s="13"/>
      <c r="E5" s="14"/>
      <c r="F5" s="15"/>
      <c r="G5" s="71"/>
      <c r="H5" s="72"/>
      <c r="I5" s="73"/>
      <c r="J5" s="121"/>
      <c r="K5" s="73"/>
      <c r="L5" s="74"/>
      <c r="M5" s="20"/>
      <c r="N5" s="192"/>
      <c r="O5" s="191"/>
      <c r="P5" s="192"/>
      <c r="Q5" s="192"/>
    </row>
    <row r="6" spans="1:246" s="12" customFormat="1" ht="12.75" customHeight="1">
      <c r="C6" s="23"/>
      <c r="D6" s="33"/>
      <c r="E6" s="34" t="s">
        <v>205</v>
      </c>
      <c r="F6" s="35"/>
      <c r="G6" s="71"/>
      <c r="H6" s="72"/>
      <c r="I6" s="73"/>
      <c r="J6" s="121"/>
      <c r="K6" s="73"/>
      <c r="L6" s="74"/>
      <c r="M6" s="20"/>
      <c r="N6" s="192"/>
      <c r="O6" s="191"/>
      <c r="P6" s="192"/>
      <c r="Q6" s="192"/>
    </row>
    <row r="7" spans="1:246" s="12" customFormat="1" ht="6" customHeight="1">
      <c r="E7" s="36"/>
      <c r="F7" s="37"/>
      <c r="G7" s="71"/>
      <c r="H7" s="77"/>
      <c r="I7" s="73"/>
      <c r="J7" s="121"/>
      <c r="K7" s="73"/>
      <c r="L7" s="74"/>
      <c r="M7" s="20"/>
      <c r="N7" s="192"/>
      <c r="O7" s="191"/>
      <c r="P7" s="192"/>
      <c r="Q7" s="192"/>
    </row>
    <row r="8" spans="1:246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141</v>
      </c>
      <c r="I8" s="82" t="s">
        <v>13</v>
      </c>
      <c r="J8" s="81" t="s">
        <v>4</v>
      </c>
      <c r="K8" s="82" t="s">
        <v>13</v>
      </c>
      <c r="L8" s="48" t="s">
        <v>15</v>
      </c>
      <c r="M8" s="39" t="s">
        <v>16</v>
      </c>
      <c r="N8" s="192" t="s">
        <v>17</v>
      </c>
      <c r="O8" s="193" t="s">
        <v>5</v>
      </c>
      <c r="Q8" s="192" t="s">
        <v>204</v>
      </c>
    </row>
    <row r="9" spans="1:246" s="92" customFormat="1" ht="16.350000000000001" customHeight="1">
      <c r="A9" s="194">
        <v>1</v>
      </c>
      <c r="B9" s="195">
        <v>26</v>
      </c>
      <c r="C9" s="53" t="s">
        <v>182</v>
      </c>
      <c r="D9" s="54" t="s">
        <v>183</v>
      </c>
      <c r="E9" s="55" t="s">
        <v>184</v>
      </c>
      <c r="F9" s="56" t="s">
        <v>26</v>
      </c>
      <c r="G9" s="85">
        <f>IF(ISBLANK(J9),"",TRUNC(24.9*(J9-14)^2))</f>
        <v>1019</v>
      </c>
      <c r="H9" s="202">
        <v>7.76</v>
      </c>
      <c r="I9" s="196">
        <v>0.19900000000000001</v>
      </c>
      <c r="J9" s="197">
        <v>7.6</v>
      </c>
      <c r="K9" s="196">
        <v>0.184</v>
      </c>
      <c r="L9" s="198" t="str">
        <f>IF(ISBLANK(J9),"",IF(J9&gt;9.04,"",IF(J9&lt;=7.25,"TSM",IF(J9&lt;=7.45,"SM",IF(J9&lt;=7.7,"KSM",IF(J9&lt;=8,"I A",IF(J9&lt;=8.44,"II A",IF(J9&lt;=9.04,"III A"))))))))</f>
        <v>KSM</v>
      </c>
      <c r="M9" s="61" t="s">
        <v>100</v>
      </c>
      <c r="N9" s="199">
        <v>7.52</v>
      </c>
      <c r="O9" s="193">
        <v>4</v>
      </c>
      <c r="P9" s="200">
        <v>1</v>
      </c>
      <c r="Q9" s="200">
        <v>3</v>
      </c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</row>
    <row r="10" spans="1:246" s="92" customFormat="1" ht="16.350000000000001" customHeight="1">
      <c r="A10" s="194">
        <v>2</v>
      </c>
      <c r="B10" s="195">
        <v>9</v>
      </c>
      <c r="C10" s="53" t="s">
        <v>18</v>
      </c>
      <c r="D10" s="54" t="s">
        <v>151</v>
      </c>
      <c r="E10" s="55" t="s">
        <v>152</v>
      </c>
      <c r="F10" s="56" t="s">
        <v>21</v>
      </c>
      <c r="G10" s="85">
        <f>IF(ISBLANK(J10),"",TRUNC(24.9*(J10-14)^2))</f>
        <v>1007</v>
      </c>
      <c r="H10" s="202">
        <v>7.79</v>
      </c>
      <c r="I10" s="196">
        <v>0.13700000000000001</v>
      </c>
      <c r="J10" s="197">
        <v>7.64</v>
      </c>
      <c r="K10" s="196">
        <v>0.16900000000000001</v>
      </c>
      <c r="L10" s="198" t="str">
        <f>IF(ISBLANK(J10),"",IF(J10&gt;9.04,"",IF(J10&lt;=7.25,"TSM",IF(J10&lt;=7.45,"SM",IF(J10&lt;=7.7,"KSM",IF(J10&lt;=8,"I A",IF(J10&lt;=8.44,"II A",IF(J10&lt;=9.04,"III A"))))))))</f>
        <v>KSM</v>
      </c>
      <c r="M10" s="61" t="s">
        <v>153</v>
      </c>
      <c r="N10" s="199">
        <v>7.7</v>
      </c>
      <c r="O10" s="193">
        <v>4</v>
      </c>
      <c r="P10" s="200">
        <v>2</v>
      </c>
      <c r="Q10" s="200">
        <v>4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</row>
    <row r="11" spans="1:246" s="92" customFormat="1" ht="16.350000000000001" customHeight="1">
      <c r="A11" s="194">
        <v>3</v>
      </c>
      <c r="B11" s="195">
        <v>25</v>
      </c>
      <c r="C11" s="53" t="s">
        <v>196</v>
      </c>
      <c r="D11" s="54" t="s">
        <v>197</v>
      </c>
      <c r="E11" s="55" t="s">
        <v>198</v>
      </c>
      <c r="F11" s="56" t="s">
        <v>26</v>
      </c>
      <c r="G11" s="85">
        <f>IF(ISBLANK(J11),"",TRUNC(24.9*(J11-14)^2))</f>
        <v>941</v>
      </c>
      <c r="H11" s="202">
        <v>7.97</v>
      </c>
      <c r="I11" s="196">
        <v>0.192</v>
      </c>
      <c r="J11" s="197">
        <v>7.85</v>
      </c>
      <c r="K11" s="196">
        <v>0.14399999999999999</v>
      </c>
      <c r="L11" s="198" t="str">
        <f>IF(ISBLANK(J11),"",IF(J11&gt;9.04,"",IF(J11&lt;=7.25,"TSM",IF(J11&lt;=7.45,"SM",IF(J11&lt;=7.7,"KSM",IF(J11&lt;=8,"I A",IF(J11&lt;=8.44,"II A",IF(J11&lt;=9.04,"III A"))))))))</f>
        <v>I A</v>
      </c>
      <c r="M11" s="61" t="s">
        <v>199</v>
      </c>
      <c r="N11" s="199">
        <v>7.92</v>
      </c>
      <c r="O11" s="193">
        <v>4</v>
      </c>
      <c r="P11" s="200">
        <v>4</v>
      </c>
      <c r="Q11" s="200">
        <v>5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</row>
    <row r="12" spans="1:246" s="92" customFormat="1" ht="16.350000000000001" customHeight="1">
      <c r="A12" s="194">
        <v>4</v>
      </c>
      <c r="B12" s="195">
        <v>37</v>
      </c>
      <c r="C12" s="53" t="s">
        <v>160</v>
      </c>
      <c r="D12" s="54" t="s">
        <v>161</v>
      </c>
      <c r="E12" s="55" t="s">
        <v>162</v>
      </c>
      <c r="F12" s="56" t="s">
        <v>26</v>
      </c>
      <c r="G12" s="85">
        <f>IF(ISBLANK(J12),"",TRUNC(24.9*(J12-14)^2))</f>
        <v>920</v>
      </c>
      <c r="H12" s="202">
        <v>8.0399999999999991</v>
      </c>
      <c r="I12" s="196">
        <v>0.191</v>
      </c>
      <c r="J12" s="197">
        <v>7.92</v>
      </c>
      <c r="K12" s="196">
        <v>0.155</v>
      </c>
      <c r="L12" s="198" t="str">
        <f>IF(ISBLANK(J12),"",IF(J12&gt;9.04,"",IF(J12&lt;=7.25,"TSM",IF(J12&lt;=7.45,"SM",IF(J12&lt;=7.7,"KSM",IF(J12&lt;=8,"I A",IF(J12&lt;=8.44,"II A",IF(J12&lt;=9.04,"III A"))))))))</f>
        <v>I A</v>
      </c>
      <c r="M12" s="61" t="s">
        <v>27</v>
      </c>
      <c r="N12" s="199">
        <v>8.0299999999999994</v>
      </c>
      <c r="O12" s="193">
        <v>3</v>
      </c>
      <c r="P12" s="200">
        <v>3</v>
      </c>
      <c r="Q12" s="200">
        <v>6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</row>
    <row r="13" spans="1:246" s="92" customFormat="1" ht="16.350000000000001" customHeight="1">
      <c r="A13" s="194">
        <v>5</v>
      </c>
      <c r="B13" s="195">
        <v>52</v>
      </c>
      <c r="C13" s="53" t="s">
        <v>160</v>
      </c>
      <c r="D13" s="54" t="s">
        <v>163</v>
      </c>
      <c r="E13" s="55" t="s">
        <v>164</v>
      </c>
      <c r="F13" s="56" t="s">
        <v>26</v>
      </c>
      <c r="G13" s="85">
        <f>IF(ISBLANK(J13),"",TRUNC(24.9*(J13-14)^2))</f>
        <v>908</v>
      </c>
      <c r="H13" s="202">
        <v>7.98</v>
      </c>
      <c r="I13" s="196">
        <v>0.17599999999999999</v>
      </c>
      <c r="J13" s="197">
        <v>7.96</v>
      </c>
      <c r="K13" s="196">
        <v>0.19400000000000001</v>
      </c>
      <c r="L13" s="198" t="str">
        <f>IF(ISBLANK(J13),"",IF(J13&gt;9.04,"",IF(J13&lt;=7.25,"TSM",IF(J13&lt;=7.45,"SM",IF(J13&lt;=7.7,"KSM",IF(J13&lt;=8,"I A",IF(J13&lt;=8.44,"II A",IF(J13&lt;=9.04,"III A"))))))))</f>
        <v>I A</v>
      </c>
      <c r="M13" s="61" t="s">
        <v>165</v>
      </c>
      <c r="N13" s="199">
        <v>7.87</v>
      </c>
      <c r="O13" s="193">
        <v>4</v>
      </c>
      <c r="P13" s="200">
        <v>3</v>
      </c>
      <c r="Q13" s="200">
        <v>2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</row>
    <row r="14" spans="1:246" s="92" customFormat="1" ht="16.350000000000001" customHeight="1">
      <c r="A14" s="194">
        <v>6</v>
      </c>
      <c r="B14" s="195">
        <v>13</v>
      </c>
      <c r="C14" s="53" t="s">
        <v>192</v>
      </c>
      <c r="D14" s="54" t="s">
        <v>193</v>
      </c>
      <c r="E14" s="55" t="s">
        <v>194</v>
      </c>
      <c r="F14" s="56" t="s">
        <v>21</v>
      </c>
      <c r="G14" s="85">
        <f t="shared" ref="G14:G24" si="0">IF(ISBLANK(H14),"",TRUNC(24.9*(H14-14)^2))</f>
        <v>866</v>
      </c>
      <c r="H14" s="60">
        <v>8.1</v>
      </c>
      <c r="I14" s="196">
        <v>0.21099999999999999</v>
      </c>
      <c r="J14" s="201">
        <v>8.11</v>
      </c>
      <c r="K14" s="196">
        <v>0.23</v>
      </c>
      <c r="L14" s="198" t="str">
        <f t="shared" ref="L14:L26" si="1">IF(ISBLANK(H14),"",IF(H14&gt;9.04,"",IF(H14&lt;=7.25,"TSM",IF(H14&lt;=7.45,"SM",IF(H14&lt;=7.7,"KSM",IF(H14&lt;=8,"I A",IF(H14&lt;=8.44,"II A",IF(H14&lt;=9.04,"III A"))))))))</f>
        <v>II A</v>
      </c>
      <c r="M14" s="61" t="s">
        <v>195</v>
      </c>
      <c r="N14" s="199">
        <v>8.02</v>
      </c>
      <c r="O14" s="193">
        <v>3</v>
      </c>
      <c r="P14" s="200">
        <v>4</v>
      </c>
      <c r="Q14" s="200">
        <v>1</v>
      </c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</row>
    <row r="15" spans="1:246" s="92" customFormat="1" ht="16.350000000000001" customHeight="1">
      <c r="A15" s="194">
        <v>7</v>
      </c>
      <c r="B15" s="195">
        <v>58</v>
      </c>
      <c r="C15" s="53" t="s">
        <v>147</v>
      </c>
      <c r="D15" s="54" t="s">
        <v>148</v>
      </c>
      <c r="E15" s="55" t="s">
        <v>149</v>
      </c>
      <c r="F15" s="56" t="s">
        <v>59</v>
      </c>
      <c r="G15" s="85">
        <f t="shared" si="0"/>
        <v>857</v>
      </c>
      <c r="H15" s="60">
        <v>8.1300000000000008</v>
      </c>
      <c r="I15" s="196">
        <v>0.189</v>
      </c>
      <c r="J15" s="197"/>
      <c r="K15" s="196"/>
      <c r="L15" s="198" t="str">
        <f t="shared" si="1"/>
        <v>II A</v>
      </c>
      <c r="M15" s="61" t="s">
        <v>150</v>
      </c>
      <c r="N15" s="199">
        <v>8.19</v>
      </c>
      <c r="O15" s="193">
        <v>3</v>
      </c>
      <c r="P15" s="200">
        <v>2</v>
      </c>
      <c r="Q15" s="200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</row>
    <row r="16" spans="1:246" s="92" customFormat="1" ht="16.350000000000001" customHeight="1">
      <c r="A16" s="194">
        <v>8</v>
      </c>
      <c r="B16" s="195">
        <v>2</v>
      </c>
      <c r="C16" s="53" t="s">
        <v>178</v>
      </c>
      <c r="D16" s="54" t="s">
        <v>179</v>
      </c>
      <c r="E16" s="55" t="s">
        <v>180</v>
      </c>
      <c r="F16" s="56" t="s">
        <v>21</v>
      </c>
      <c r="G16" s="85">
        <f t="shared" si="0"/>
        <v>846</v>
      </c>
      <c r="H16" s="60">
        <v>8.17</v>
      </c>
      <c r="I16" s="196">
        <v>0.21</v>
      </c>
      <c r="J16" s="197"/>
      <c r="K16" s="196"/>
      <c r="L16" s="198" t="str">
        <f t="shared" si="1"/>
        <v>II A</v>
      </c>
      <c r="M16" s="61" t="s">
        <v>181</v>
      </c>
      <c r="N16" s="199">
        <v>8.23</v>
      </c>
      <c r="O16" s="193">
        <v>3</v>
      </c>
      <c r="P16" s="200">
        <v>1</v>
      </c>
      <c r="Q16" s="20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</row>
    <row r="17" spans="1:244" s="92" customFormat="1" ht="16.350000000000001" customHeight="1">
      <c r="A17" s="194">
        <v>9</v>
      </c>
      <c r="B17" s="195">
        <v>34</v>
      </c>
      <c r="C17" s="53" t="s">
        <v>185</v>
      </c>
      <c r="D17" s="54" t="s">
        <v>186</v>
      </c>
      <c r="E17" s="55" t="s">
        <v>187</v>
      </c>
      <c r="F17" s="56" t="s">
        <v>21</v>
      </c>
      <c r="G17" s="85">
        <f t="shared" si="0"/>
        <v>831</v>
      </c>
      <c r="H17" s="60">
        <v>8.2200000000000006</v>
      </c>
      <c r="I17" s="196">
        <v>0.39200000000000002</v>
      </c>
      <c r="J17" s="197"/>
      <c r="K17" s="196"/>
      <c r="L17" s="198" t="str">
        <f t="shared" si="1"/>
        <v>II A</v>
      </c>
      <c r="M17" s="61" t="s">
        <v>188</v>
      </c>
      <c r="N17" s="199">
        <v>8.35</v>
      </c>
      <c r="O17" s="193">
        <v>5</v>
      </c>
      <c r="P17" s="200">
        <v>1</v>
      </c>
      <c r="Q17" s="200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</row>
    <row r="18" spans="1:244" s="92" customFormat="1" ht="16.350000000000001" customHeight="1">
      <c r="A18" s="194">
        <v>10</v>
      </c>
      <c r="B18" s="195">
        <v>33</v>
      </c>
      <c r="C18" s="53" t="s">
        <v>175</v>
      </c>
      <c r="D18" s="54" t="s">
        <v>176</v>
      </c>
      <c r="E18" s="55" t="s">
        <v>177</v>
      </c>
      <c r="F18" s="56" t="s">
        <v>26</v>
      </c>
      <c r="G18" s="85">
        <f t="shared" si="0"/>
        <v>792</v>
      </c>
      <c r="H18" s="60">
        <v>8.36</v>
      </c>
      <c r="I18" s="196">
        <v>0.32</v>
      </c>
      <c r="J18" s="197"/>
      <c r="K18" s="196"/>
      <c r="L18" s="198" t="str">
        <f t="shared" si="1"/>
        <v>II A</v>
      </c>
      <c r="M18" s="61" t="s">
        <v>27</v>
      </c>
      <c r="N18" s="199">
        <v>8.35</v>
      </c>
      <c r="O18" s="193">
        <v>2</v>
      </c>
      <c r="P18" s="200">
        <v>1</v>
      </c>
      <c r="Q18" s="200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</row>
    <row r="19" spans="1:244" s="92" customFormat="1" ht="16.350000000000001" customHeight="1">
      <c r="A19" s="194">
        <v>11</v>
      </c>
      <c r="B19" s="195">
        <v>31</v>
      </c>
      <c r="C19" s="53" t="s">
        <v>23</v>
      </c>
      <c r="D19" s="54" t="s">
        <v>24</v>
      </c>
      <c r="E19" s="55" t="s">
        <v>25</v>
      </c>
      <c r="F19" s="56" t="s">
        <v>26</v>
      </c>
      <c r="G19" s="85">
        <f t="shared" si="0"/>
        <v>778</v>
      </c>
      <c r="H19" s="60">
        <v>8.41</v>
      </c>
      <c r="I19" s="196">
        <v>0.155</v>
      </c>
      <c r="J19" s="197"/>
      <c r="K19" s="196"/>
      <c r="L19" s="198" t="str">
        <f t="shared" si="1"/>
        <v>II A</v>
      </c>
      <c r="M19" s="61" t="s">
        <v>27</v>
      </c>
      <c r="N19" s="199">
        <v>8.3699999999999992</v>
      </c>
      <c r="O19" s="193">
        <v>2</v>
      </c>
      <c r="P19" s="200">
        <v>3</v>
      </c>
      <c r="Q19" s="200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</row>
    <row r="20" spans="1:244" s="92" customFormat="1" ht="16.350000000000001" customHeight="1">
      <c r="A20" s="194">
        <v>12</v>
      </c>
      <c r="B20" s="195">
        <v>180</v>
      </c>
      <c r="C20" s="53" t="s">
        <v>166</v>
      </c>
      <c r="D20" s="54" t="s">
        <v>167</v>
      </c>
      <c r="E20" s="55" t="s">
        <v>168</v>
      </c>
      <c r="F20" s="56" t="s">
        <v>117</v>
      </c>
      <c r="G20" s="85">
        <f t="shared" si="0"/>
        <v>702</v>
      </c>
      <c r="H20" s="60">
        <v>8.69</v>
      </c>
      <c r="I20" s="196">
        <v>0.14899999999999999</v>
      </c>
      <c r="J20" s="197"/>
      <c r="K20" s="196"/>
      <c r="L20" s="198" t="str">
        <f t="shared" si="1"/>
        <v>III A</v>
      </c>
      <c r="M20" s="61" t="s">
        <v>169</v>
      </c>
      <c r="N20" s="199">
        <v>8.7100000000000009</v>
      </c>
      <c r="O20" s="193">
        <v>5</v>
      </c>
      <c r="P20" s="200">
        <v>3</v>
      </c>
      <c r="Q20" s="200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</row>
    <row r="21" spans="1:244" s="92" customFormat="1" ht="16.350000000000001" customHeight="1">
      <c r="A21" s="194">
        <v>13</v>
      </c>
      <c r="B21" s="195">
        <v>142</v>
      </c>
      <c r="C21" s="53" t="s">
        <v>91</v>
      </c>
      <c r="D21" s="54" t="s">
        <v>189</v>
      </c>
      <c r="E21" s="55" t="s">
        <v>190</v>
      </c>
      <c r="F21" s="56" t="s">
        <v>48</v>
      </c>
      <c r="G21" s="85">
        <f t="shared" si="0"/>
        <v>670</v>
      </c>
      <c r="H21" s="60">
        <v>8.81</v>
      </c>
      <c r="I21" s="196">
        <v>0.34200000000000003</v>
      </c>
      <c r="J21" s="197"/>
      <c r="K21" s="196"/>
      <c r="L21" s="198" t="str">
        <f t="shared" si="1"/>
        <v>III A</v>
      </c>
      <c r="M21" s="61" t="s">
        <v>191</v>
      </c>
      <c r="N21" s="199">
        <v>8.68</v>
      </c>
      <c r="O21" s="193">
        <v>2</v>
      </c>
      <c r="P21" s="200">
        <v>4</v>
      </c>
      <c r="Q21" s="200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</row>
    <row r="22" spans="1:244" s="92" customFormat="1" ht="16.350000000000001" customHeight="1">
      <c r="A22" s="194">
        <v>14</v>
      </c>
      <c r="B22" s="195">
        <v>131</v>
      </c>
      <c r="C22" s="53" t="s">
        <v>154</v>
      </c>
      <c r="D22" s="54" t="s">
        <v>155</v>
      </c>
      <c r="E22" s="55" t="s">
        <v>156</v>
      </c>
      <c r="F22" s="56" t="s">
        <v>117</v>
      </c>
      <c r="G22" s="85">
        <f t="shared" si="0"/>
        <v>645</v>
      </c>
      <c r="H22" s="60">
        <v>8.91</v>
      </c>
      <c r="I22" s="196">
        <v>0.31</v>
      </c>
      <c r="J22" s="197"/>
      <c r="K22" s="196"/>
      <c r="L22" s="198" t="str">
        <f t="shared" si="1"/>
        <v>III A</v>
      </c>
      <c r="M22" s="61" t="s">
        <v>157</v>
      </c>
      <c r="N22" s="199">
        <v>8.85</v>
      </c>
      <c r="O22" s="193">
        <v>5</v>
      </c>
      <c r="P22" s="200">
        <v>2</v>
      </c>
      <c r="Q22" s="200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</row>
    <row r="23" spans="1:244" s="92" customFormat="1" ht="16.350000000000001" customHeight="1">
      <c r="A23" s="194">
        <v>15</v>
      </c>
      <c r="B23" s="195">
        <v>16</v>
      </c>
      <c r="C23" s="53" t="s">
        <v>200</v>
      </c>
      <c r="D23" s="54" t="s">
        <v>201</v>
      </c>
      <c r="E23" s="55" t="s">
        <v>202</v>
      </c>
      <c r="F23" s="56" t="s">
        <v>21</v>
      </c>
      <c r="G23" s="85">
        <f t="shared" si="0"/>
        <v>632</v>
      </c>
      <c r="H23" s="60">
        <v>8.9600000000000009</v>
      </c>
      <c r="I23" s="196">
        <v>0.23699999999999999</v>
      </c>
      <c r="J23" s="197"/>
      <c r="K23" s="196"/>
      <c r="L23" s="198" t="str">
        <f t="shared" si="1"/>
        <v>III A</v>
      </c>
      <c r="M23" s="61" t="s">
        <v>203</v>
      </c>
      <c r="N23" s="199">
        <v>9.02</v>
      </c>
      <c r="O23" s="193">
        <v>5</v>
      </c>
      <c r="P23" s="200">
        <v>1</v>
      </c>
      <c r="Q23" s="200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</row>
    <row r="24" spans="1:244" s="92" customFormat="1" ht="16.350000000000001" customHeight="1">
      <c r="A24" s="194">
        <v>16</v>
      </c>
      <c r="B24" s="195">
        <v>136</v>
      </c>
      <c r="C24" s="53" t="s">
        <v>166</v>
      </c>
      <c r="D24" s="54" t="s">
        <v>170</v>
      </c>
      <c r="E24" s="55" t="s">
        <v>171</v>
      </c>
      <c r="F24" s="56" t="s">
        <v>172</v>
      </c>
      <c r="G24" s="85">
        <f t="shared" si="0"/>
        <v>380</v>
      </c>
      <c r="H24" s="60">
        <v>10.09</v>
      </c>
      <c r="I24" s="196" t="s">
        <v>173</v>
      </c>
      <c r="J24" s="197"/>
      <c r="K24" s="196"/>
      <c r="L24" s="198" t="str">
        <f t="shared" si="1"/>
        <v/>
      </c>
      <c r="M24" s="61" t="s">
        <v>174</v>
      </c>
      <c r="N24" s="199"/>
      <c r="O24" s="193">
        <v>1</v>
      </c>
      <c r="P24" s="200">
        <v>1</v>
      </c>
      <c r="Q24" s="20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</row>
    <row r="25" spans="1:244" s="92" customFormat="1" ht="16.350000000000001" customHeight="1">
      <c r="A25" s="194" t="s">
        <v>73</v>
      </c>
      <c r="B25" s="195">
        <v>107</v>
      </c>
      <c r="C25" s="53" t="s">
        <v>142</v>
      </c>
      <c r="D25" s="54" t="s">
        <v>143</v>
      </c>
      <c r="E25" s="55" t="s">
        <v>144</v>
      </c>
      <c r="F25" s="56" t="s">
        <v>145</v>
      </c>
      <c r="G25" s="85" t="s">
        <v>73</v>
      </c>
      <c r="H25" s="60">
        <v>8.41</v>
      </c>
      <c r="I25" s="196">
        <v>0.36699999999999999</v>
      </c>
      <c r="J25" s="197"/>
      <c r="K25" s="196"/>
      <c r="L25" s="198" t="str">
        <f t="shared" si="1"/>
        <v>II A</v>
      </c>
      <c r="M25" s="61" t="s">
        <v>146</v>
      </c>
      <c r="N25" s="199">
        <v>8.36</v>
      </c>
      <c r="O25" s="193">
        <v>2</v>
      </c>
      <c r="P25" s="200">
        <v>2</v>
      </c>
      <c r="Q25" s="20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</row>
    <row r="26" spans="1:244" s="92" customFormat="1" ht="16.350000000000001" customHeight="1">
      <c r="A26" s="194"/>
      <c r="B26" s="195">
        <v>27</v>
      </c>
      <c r="C26" s="53" t="s">
        <v>18</v>
      </c>
      <c r="D26" s="54" t="s">
        <v>158</v>
      </c>
      <c r="E26" s="55" t="s">
        <v>149</v>
      </c>
      <c r="F26" s="56" t="s">
        <v>21</v>
      </c>
      <c r="G26" s="85"/>
      <c r="H26" s="60" t="s">
        <v>72</v>
      </c>
      <c r="I26" s="196"/>
      <c r="J26" s="197"/>
      <c r="K26" s="196"/>
      <c r="L26" s="198" t="str">
        <f t="shared" si="1"/>
        <v/>
      </c>
      <c r="M26" s="61" t="s">
        <v>159</v>
      </c>
      <c r="N26" s="199"/>
      <c r="O26" s="193">
        <v>1</v>
      </c>
      <c r="P26" s="200">
        <v>3</v>
      </c>
      <c r="Q26" s="200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</row>
  </sheetData>
  <phoneticPr fontId="0" type="noConversion"/>
  <printOptions horizontalCentered="1"/>
  <pageMargins left="0.9237007874015748" right="0.39370078740157483" top="0.39370078740157483" bottom="0.19685039370078741" header="0.51181102362204722" footer="0.51181102362204722"/>
  <pageSetup paperSize="9" scale="96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"/>
  <sheetViews>
    <sheetView showZeros="0" zoomScaleNormal="100" workbookViewId="0">
      <selection activeCell="A10" sqref="A10"/>
    </sheetView>
  </sheetViews>
  <sheetFormatPr defaultColWidth="11.42578125" defaultRowHeight="12.75"/>
  <cols>
    <col min="1" max="1" width="5.5703125" style="143" customWidth="1"/>
    <col min="2" max="2" width="4.5703125" style="143" customWidth="1"/>
    <col min="3" max="3" width="8" style="143" customWidth="1"/>
    <col min="4" max="4" width="16" style="143" customWidth="1"/>
    <col min="5" max="5" width="11.85546875" style="145" customWidth="1"/>
    <col min="6" max="6" width="10.28515625" style="146" customWidth="1"/>
    <col min="7" max="7" width="7.5703125" style="147" customWidth="1"/>
    <col min="8" max="10" width="5.7109375" style="148" customWidth="1"/>
    <col min="11" max="11" width="3.28515625" style="149" customWidth="1"/>
    <col min="12" max="14" width="5.7109375" style="148" customWidth="1"/>
    <col min="15" max="15" width="7.28515625" style="151" customWidth="1"/>
    <col min="16" max="16" width="6.5703125" style="140" customWidth="1"/>
    <col min="17" max="17" width="26" style="143" customWidth="1"/>
    <col min="18" max="18" width="4.5703125" style="152" customWidth="1"/>
    <col min="19" max="16384" width="11.42578125" style="143"/>
  </cols>
  <sheetData>
    <row r="1" spans="1:23" s="140" customFormat="1" ht="20.25">
      <c r="A1" s="132" t="s">
        <v>0</v>
      </c>
      <c r="B1" s="133"/>
      <c r="C1" s="134"/>
      <c r="D1" s="133"/>
      <c r="E1" s="135"/>
      <c r="F1" s="136"/>
      <c r="G1" s="137"/>
      <c r="H1" s="138"/>
      <c r="I1" s="138"/>
      <c r="J1" s="138"/>
      <c r="K1" s="133"/>
      <c r="L1" s="138"/>
      <c r="M1" s="138"/>
      <c r="N1" s="138"/>
      <c r="O1" s="138"/>
      <c r="P1" s="133"/>
      <c r="Q1" s="133"/>
      <c r="R1" s="139"/>
    </row>
    <row r="2" spans="1:23" s="140" customFormat="1" ht="12" customHeight="1">
      <c r="A2" s="133"/>
      <c r="B2" s="133"/>
      <c r="C2" s="133"/>
      <c r="D2" s="133"/>
      <c r="E2" s="141"/>
      <c r="F2" s="142"/>
      <c r="G2" s="137"/>
      <c r="H2" s="138"/>
      <c r="I2" s="138"/>
      <c r="J2" s="138"/>
      <c r="K2" s="133"/>
      <c r="L2" s="138"/>
      <c r="M2" s="138"/>
      <c r="N2" s="138"/>
      <c r="O2" s="138"/>
      <c r="P2" s="133"/>
      <c r="Q2" s="11" t="s">
        <v>1</v>
      </c>
      <c r="R2" s="139"/>
    </row>
    <row r="3" spans="1:23" ht="12.75" customHeight="1">
      <c r="C3" s="144"/>
      <c r="L3" s="150"/>
      <c r="M3" s="150"/>
      <c r="Q3" s="29" t="s">
        <v>3</v>
      </c>
    </row>
    <row r="4" spans="1:23" ht="16.5" customHeight="1">
      <c r="C4" s="132" t="s">
        <v>109</v>
      </c>
      <c r="E4" s="153"/>
      <c r="L4" s="150"/>
      <c r="M4" s="150"/>
    </row>
    <row r="5" spans="1:23" s="149" customFormat="1" ht="2.1" customHeight="1">
      <c r="W5" s="154"/>
    </row>
    <row r="6" spans="1:23" s="149" customFormat="1" ht="2.1" customHeight="1">
      <c r="W6" s="154"/>
    </row>
    <row r="7" spans="1:23">
      <c r="H7" s="500" t="s">
        <v>107</v>
      </c>
      <c r="I7" s="501"/>
      <c r="J7" s="501"/>
      <c r="K7" s="501"/>
      <c r="L7" s="501"/>
      <c r="M7" s="501"/>
      <c r="N7" s="502"/>
    </row>
    <row r="8" spans="1:23" ht="22.5" customHeight="1">
      <c r="A8" s="155" t="s">
        <v>43</v>
      </c>
      <c r="B8" s="156" t="s">
        <v>6</v>
      </c>
      <c r="C8" s="157" t="s">
        <v>7</v>
      </c>
      <c r="D8" s="158" t="s">
        <v>8</v>
      </c>
      <c r="E8" s="159" t="s">
        <v>9</v>
      </c>
      <c r="F8" s="160" t="s">
        <v>10</v>
      </c>
      <c r="G8" s="161" t="s">
        <v>11</v>
      </c>
      <c r="H8" s="162">
        <v>1</v>
      </c>
      <c r="I8" s="162">
        <v>2</v>
      </c>
      <c r="J8" s="162">
        <v>3</v>
      </c>
      <c r="K8" s="163" t="s">
        <v>106</v>
      </c>
      <c r="L8" s="162">
        <v>4</v>
      </c>
      <c r="M8" s="162">
        <v>5</v>
      </c>
      <c r="N8" s="162">
        <v>6</v>
      </c>
      <c r="O8" s="164" t="s">
        <v>105</v>
      </c>
      <c r="P8" s="156" t="s">
        <v>104</v>
      </c>
      <c r="Q8" s="156" t="s">
        <v>16</v>
      </c>
      <c r="R8" s="165"/>
    </row>
    <row r="9" spans="1:23" s="176" customFormat="1" ht="20.100000000000001" customHeight="1">
      <c r="A9" s="110">
        <v>1</v>
      </c>
      <c r="B9" s="166">
        <v>113</v>
      </c>
      <c r="C9" s="167" t="s">
        <v>23</v>
      </c>
      <c r="D9" s="168" t="s">
        <v>110</v>
      </c>
      <c r="E9" s="169" t="s">
        <v>111</v>
      </c>
      <c r="F9" s="170" t="s">
        <v>112</v>
      </c>
      <c r="G9" s="171">
        <f>IF(ISBLANK(O9),"",TRUNC(0.0462*(O9+657.53)^2)-20000)</f>
        <v>686</v>
      </c>
      <c r="H9" s="172">
        <v>11.36</v>
      </c>
      <c r="I9" s="172">
        <v>11.58</v>
      </c>
      <c r="J9" s="172" t="s">
        <v>79</v>
      </c>
      <c r="K9" s="173">
        <v>1</v>
      </c>
      <c r="L9" s="172">
        <v>11.29</v>
      </c>
      <c r="M9" s="172">
        <v>11.62</v>
      </c>
      <c r="N9" s="172" t="s">
        <v>79</v>
      </c>
      <c r="O9" s="164">
        <f>MAX(H9:J9,L9:N9)</f>
        <v>11.62</v>
      </c>
      <c r="P9" s="172" t="str">
        <f>IF(ISBLANK(O9),"",IF(O9&lt;8.5,"",IF(O9&gt;=17.2,"TSM",IF(O9&gt;=15.8,"SM",IF(O9&gt;=14,"KSM",IF(O9&gt;=12,"I A",IF(O9&gt;=10,"II A",IF(O9&gt;=8.5,"III A"))))))))</f>
        <v>II A</v>
      </c>
      <c r="Q9" s="174" t="s">
        <v>113</v>
      </c>
      <c r="R9" s="175"/>
    </row>
    <row r="10" spans="1:23" s="176" customFormat="1" ht="20.100000000000001" customHeight="1">
      <c r="A10" s="110" t="s">
        <v>73</v>
      </c>
      <c r="B10" s="166">
        <v>109</v>
      </c>
      <c r="C10" s="167" t="s">
        <v>83</v>
      </c>
      <c r="D10" s="168" t="s">
        <v>82</v>
      </c>
      <c r="E10" s="169" t="s">
        <v>81</v>
      </c>
      <c r="F10" s="170" t="s">
        <v>80</v>
      </c>
      <c r="G10" s="171" t="s">
        <v>73</v>
      </c>
      <c r="H10" s="172">
        <v>9.84</v>
      </c>
      <c r="I10" s="172">
        <v>9.8699999999999992</v>
      </c>
      <c r="J10" s="172">
        <v>9.92</v>
      </c>
      <c r="K10" s="173"/>
      <c r="L10" s="172"/>
      <c r="M10" s="172"/>
      <c r="N10" s="172"/>
      <c r="O10" s="164">
        <f>MAX(H10:J10,L10:N10)</f>
        <v>9.92</v>
      </c>
      <c r="P10" s="172" t="str">
        <f>IF(ISBLANK(O10),"",IF(O10&lt;8.5,"",IF(O10&gt;=17.2,"TSM",IF(O10&gt;=15.8,"SM",IF(O10&gt;=14,"KSM",IF(O10&gt;=12,"I A",IF(O10&gt;=10,"II A",IF(O10&gt;=8.5,"III A"))))))))</f>
        <v>III A</v>
      </c>
      <c r="Q10" s="174" t="s">
        <v>78</v>
      </c>
      <c r="R10" s="175"/>
    </row>
    <row r="11" spans="1:23" s="176" customFormat="1" ht="20.100000000000001" customHeight="1">
      <c r="A11" s="110"/>
      <c r="B11" s="166">
        <v>79</v>
      </c>
      <c r="C11" s="167" t="s">
        <v>114</v>
      </c>
      <c r="D11" s="168" t="s">
        <v>115</v>
      </c>
      <c r="E11" s="169" t="s">
        <v>116</v>
      </c>
      <c r="F11" s="170" t="s">
        <v>117</v>
      </c>
      <c r="G11" s="177" t="e">
        <f>IF(ISBLANK(O11),"",TRUNC(0.0462*(O11+657.53)^2)-20000)</f>
        <v>#VALUE!</v>
      </c>
      <c r="H11" s="172"/>
      <c r="I11" s="172"/>
      <c r="J11" s="172"/>
      <c r="K11" s="173"/>
      <c r="L11" s="172"/>
      <c r="M11" s="172"/>
      <c r="N11" s="172"/>
      <c r="O11" s="164" t="s">
        <v>72</v>
      </c>
      <c r="P11" s="172" t="str">
        <f>IF(ISBLANK(O11),"",IF(O11&lt;8.5,"",IF(O11&gt;=17.2,"TSM",IF(O11&gt;=15.8,"SM",IF(O11&gt;=14,"KSM",IF(O11&gt;=12,"I A",IF(O11&gt;=10,"II A",IF(O11&gt;=8.5,"III A"))))))))</f>
        <v>TSM</v>
      </c>
      <c r="Q11" s="174" t="s">
        <v>118</v>
      </c>
      <c r="R11" s="175"/>
    </row>
    <row r="12" spans="1:23" s="176" customFormat="1" ht="20.100000000000001" customHeight="1">
      <c r="A12" s="110" t="s">
        <v>73</v>
      </c>
      <c r="B12" s="166">
        <v>108</v>
      </c>
      <c r="C12" s="167" t="s">
        <v>119</v>
      </c>
      <c r="D12" s="168" t="s">
        <v>120</v>
      </c>
      <c r="E12" s="169" t="s">
        <v>121</v>
      </c>
      <c r="F12" s="178" t="s">
        <v>122</v>
      </c>
      <c r="G12" s="171" t="s">
        <v>73</v>
      </c>
      <c r="H12" s="172"/>
      <c r="I12" s="172"/>
      <c r="J12" s="172"/>
      <c r="K12" s="173"/>
      <c r="L12" s="172"/>
      <c r="M12" s="172"/>
      <c r="N12" s="172"/>
      <c r="O12" s="164" t="s">
        <v>72</v>
      </c>
      <c r="P12" s="172" t="str">
        <f>IF(ISBLANK(O12),"",IF(O12&lt;8.5,"",IF(O12&gt;=17.2,"TSM",IF(O12&gt;=15.8,"SM",IF(O12&gt;=14,"KSM",IF(O12&gt;=12,"I A",IF(O12&gt;=10,"II A",IF(O12&gt;=8.5,"III A"))))))))</f>
        <v>TSM</v>
      </c>
      <c r="Q12" s="174" t="s">
        <v>123</v>
      </c>
      <c r="R12" s="175"/>
    </row>
  </sheetData>
  <mergeCells count="1">
    <mergeCell ref="H7:N7"/>
  </mergeCells>
  <phoneticPr fontId="0" type="noConversion"/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V14"/>
  <sheetViews>
    <sheetView showZeros="0" zoomScaleNormal="100" workbookViewId="0">
      <selection activeCell="A10" sqref="A10"/>
    </sheetView>
  </sheetViews>
  <sheetFormatPr defaultColWidth="11.42578125" defaultRowHeight="12.75"/>
  <cols>
    <col min="1" max="1" width="5.42578125" style="143" customWidth="1"/>
    <col min="2" max="2" width="4.42578125" style="143" customWidth="1"/>
    <col min="3" max="3" width="14" style="143" customWidth="1"/>
    <col min="4" max="4" width="13.42578125" style="143" customWidth="1"/>
    <col min="5" max="5" width="10.28515625" style="145" customWidth="1"/>
    <col min="6" max="6" width="9.42578125" style="146" customWidth="1"/>
    <col min="7" max="7" width="7.42578125" style="147" customWidth="1"/>
    <col min="8" max="10" width="5.42578125" style="148" customWidth="1"/>
    <col min="11" max="11" width="3.28515625" style="149" customWidth="1"/>
    <col min="12" max="14" width="5.42578125" style="148" customWidth="1"/>
    <col min="15" max="15" width="7.28515625" style="151" customWidth="1"/>
    <col min="16" max="16" width="6.42578125" style="140" customWidth="1"/>
    <col min="17" max="17" width="23.28515625" style="143" customWidth="1"/>
    <col min="18" max="16384" width="11.42578125" style="143"/>
  </cols>
  <sheetData>
    <row r="1" spans="1:22" s="140" customFormat="1" ht="20.25">
      <c r="A1" s="132" t="s">
        <v>0</v>
      </c>
      <c r="B1" s="133"/>
      <c r="C1" s="134"/>
      <c r="D1" s="133"/>
      <c r="E1" s="135"/>
      <c r="F1" s="136"/>
      <c r="G1" s="137"/>
      <c r="H1" s="138"/>
      <c r="I1" s="138"/>
      <c r="J1" s="138"/>
      <c r="K1" s="133"/>
      <c r="L1" s="138"/>
      <c r="M1" s="138"/>
      <c r="N1" s="138"/>
      <c r="O1" s="138"/>
      <c r="P1" s="133"/>
      <c r="Q1" s="133"/>
    </row>
    <row r="2" spans="1:22" s="140" customFormat="1" ht="12" customHeight="1">
      <c r="A2" s="133"/>
      <c r="B2" s="133"/>
      <c r="C2" s="133"/>
      <c r="D2" s="133"/>
      <c r="E2" s="141"/>
      <c r="F2" s="142"/>
      <c r="G2" s="137"/>
      <c r="H2" s="138"/>
      <c r="I2" s="138"/>
      <c r="J2" s="138"/>
      <c r="K2" s="133"/>
      <c r="L2" s="138"/>
      <c r="M2" s="138"/>
      <c r="N2" s="138"/>
      <c r="O2" s="138"/>
      <c r="P2" s="133"/>
      <c r="Q2" s="11" t="s">
        <v>1</v>
      </c>
    </row>
    <row r="3" spans="1:22" ht="12.75" customHeight="1">
      <c r="C3" s="144"/>
      <c r="L3" s="150"/>
      <c r="M3" s="150"/>
      <c r="Q3" s="29" t="s">
        <v>3</v>
      </c>
    </row>
    <row r="4" spans="1:22" ht="16.5" customHeight="1">
      <c r="C4" s="132" t="s">
        <v>206</v>
      </c>
      <c r="E4" s="153"/>
      <c r="L4" s="150"/>
      <c r="M4" s="150"/>
      <c r="Q4" s="203"/>
    </row>
    <row r="5" spans="1:22" s="149" customFormat="1" ht="2.1" customHeight="1">
      <c r="V5" s="154"/>
    </row>
    <row r="6" spans="1:22" s="149" customFormat="1" ht="2.1" customHeight="1">
      <c r="V6" s="154"/>
    </row>
    <row r="7" spans="1:22">
      <c r="H7" s="500" t="s">
        <v>107</v>
      </c>
      <c r="I7" s="501"/>
      <c r="J7" s="501"/>
      <c r="K7" s="501"/>
      <c r="L7" s="501"/>
      <c r="M7" s="501"/>
      <c r="N7" s="502"/>
    </row>
    <row r="8" spans="1:22" ht="22.5" customHeight="1">
      <c r="A8" s="155" t="s">
        <v>43</v>
      </c>
      <c r="B8" s="156" t="s">
        <v>6</v>
      </c>
      <c r="C8" s="157" t="s">
        <v>7</v>
      </c>
      <c r="D8" s="158" t="s">
        <v>8</v>
      </c>
      <c r="E8" s="159" t="s">
        <v>9</v>
      </c>
      <c r="F8" s="160" t="s">
        <v>10</v>
      </c>
      <c r="G8" s="161" t="s">
        <v>11</v>
      </c>
      <c r="H8" s="162">
        <v>1</v>
      </c>
      <c r="I8" s="162">
        <v>2</v>
      </c>
      <c r="J8" s="162">
        <v>3</v>
      </c>
      <c r="K8" s="163" t="s">
        <v>106</v>
      </c>
      <c r="L8" s="162">
        <v>4</v>
      </c>
      <c r="M8" s="162">
        <v>5</v>
      </c>
      <c r="N8" s="162">
        <v>6</v>
      </c>
      <c r="O8" s="164" t="s">
        <v>105</v>
      </c>
      <c r="P8" s="156" t="s">
        <v>104</v>
      </c>
      <c r="Q8" s="156" t="s">
        <v>16</v>
      </c>
    </row>
    <row r="9" spans="1:22" s="176" customFormat="1" ht="20.100000000000001" customHeight="1">
      <c r="A9" s="110">
        <v>1</v>
      </c>
      <c r="B9" s="166">
        <v>129</v>
      </c>
      <c r="C9" s="204" t="s">
        <v>207</v>
      </c>
      <c r="D9" s="205" t="s">
        <v>208</v>
      </c>
      <c r="E9" s="206" t="s">
        <v>209</v>
      </c>
      <c r="F9" s="207" t="s">
        <v>26</v>
      </c>
      <c r="G9" s="171">
        <f t="shared" ref="G9:G14" si="0">IF(ISBLANK(O9),"",TRUNC(0.042172*(O9+687.7)^2)-20000)</f>
        <v>914</v>
      </c>
      <c r="H9" s="172" t="s">
        <v>79</v>
      </c>
      <c r="I9" s="172">
        <v>16.11</v>
      </c>
      <c r="J9" s="172">
        <v>16.52</v>
      </c>
      <c r="K9" s="173">
        <v>6</v>
      </c>
      <c r="L9" s="172">
        <v>16.43</v>
      </c>
      <c r="M9" s="172">
        <v>16.079999999999998</v>
      </c>
      <c r="N9" s="172">
        <v>16.48</v>
      </c>
      <c r="O9" s="164">
        <f t="shared" ref="O9:O14" si="1">MAX(H9:J9,L9:N9)</f>
        <v>16.52</v>
      </c>
      <c r="P9" s="172" t="str">
        <f t="shared" ref="P9:P14" si="2">IF(ISBLANK(O9),"",IF(O9&lt;10.2,"",IF(O9&gt;=19.9,"TSM",IF(O9&gt;=17.5,"SM",IF(O9&gt;=15.6,"KSM",IF(O9&gt;=13.8,"I A",IF(O9&gt;=12,"II A",IF(O9&gt;=10.2,"III A"))))))))</f>
        <v>KSM</v>
      </c>
      <c r="Q9" s="208" t="s">
        <v>210</v>
      </c>
    </row>
    <row r="10" spans="1:22" s="176" customFormat="1" ht="20.100000000000001" customHeight="1">
      <c r="A10" s="110">
        <v>2</v>
      </c>
      <c r="B10" s="166">
        <v>170</v>
      </c>
      <c r="C10" s="204" t="s">
        <v>211</v>
      </c>
      <c r="D10" s="205" t="s">
        <v>212</v>
      </c>
      <c r="E10" s="206" t="s">
        <v>213</v>
      </c>
      <c r="F10" s="207" t="s">
        <v>41</v>
      </c>
      <c r="G10" s="171">
        <f t="shared" si="0"/>
        <v>821</v>
      </c>
      <c r="H10" s="172">
        <v>14.42</v>
      </c>
      <c r="I10" s="172">
        <v>14.95</v>
      </c>
      <c r="J10" s="172" t="s">
        <v>79</v>
      </c>
      <c r="K10" s="173">
        <v>5</v>
      </c>
      <c r="L10" s="172" t="s">
        <v>79</v>
      </c>
      <c r="M10" s="172" t="s">
        <v>79</v>
      </c>
      <c r="N10" s="172" t="s">
        <v>79</v>
      </c>
      <c r="O10" s="164">
        <f t="shared" si="1"/>
        <v>14.95</v>
      </c>
      <c r="P10" s="172" t="str">
        <f t="shared" si="2"/>
        <v>I A</v>
      </c>
      <c r="Q10" s="208" t="s">
        <v>214</v>
      </c>
    </row>
    <row r="11" spans="1:22" s="176" customFormat="1" ht="20.100000000000001" customHeight="1">
      <c r="A11" s="110">
        <v>3</v>
      </c>
      <c r="B11" s="166">
        <v>118</v>
      </c>
      <c r="C11" s="204" t="s">
        <v>215</v>
      </c>
      <c r="D11" s="205" t="s">
        <v>216</v>
      </c>
      <c r="E11" s="206" t="s">
        <v>217</v>
      </c>
      <c r="F11" s="207" t="s">
        <v>26</v>
      </c>
      <c r="G11" s="171">
        <f t="shared" si="0"/>
        <v>816</v>
      </c>
      <c r="H11" s="172">
        <v>14.64</v>
      </c>
      <c r="I11" s="172">
        <v>14.69</v>
      </c>
      <c r="J11" s="172">
        <v>14.31</v>
      </c>
      <c r="K11" s="173">
        <v>4</v>
      </c>
      <c r="L11" s="172" t="s">
        <v>79</v>
      </c>
      <c r="M11" s="172">
        <v>14.88</v>
      </c>
      <c r="N11" s="172" t="s">
        <v>79</v>
      </c>
      <c r="O11" s="164">
        <f t="shared" si="1"/>
        <v>14.88</v>
      </c>
      <c r="P11" s="172" t="str">
        <f t="shared" si="2"/>
        <v>I A</v>
      </c>
      <c r="Q11" s="208" t="s">
        <v>218</v>
      </c>
    </row>
    <row r="12" spans="1:22" s="176" customFormat="1" ht="20.100000000000001" customHeight="1">
      <c r="A12" s="110">
        <v>4</v>
      </c>
      <c r="B12" s="166">
        <v>117</v>
      </c>
      <c r="C12" s="204" t="s">
        <v>219</v>
      </c>
      <c r="D12" s="205" t="s">
        <v>220</v>
      </c>
      <c r="E12" s="206" t="s">
        <v>221</v>
      </c>
      <c r="F12" s="207" t="s">
        <v>172</v>
      </c>
      <c r="G12" s="171">
        <f t="shared" si="0"/>
        <v>716</v>
      </c>
      <c r="H12" s="172" t="s">
        <v>79</v>
      </c>
      <c r="I12" s="172" t="s">
        <v>79</v>
      </c>
      <c r="J12" s="172">
        <v>13.19</v>
      </c>
      <c r="K12" s="173">
        <v>3</v>
      </c>
      <c r="L12" s="172" t="s">
        <v>79</v>
      </c>
      <c r="M12" s="172" t="s">
        <v>79</v>
      </c>
      <c r="N12" s="172" t="s">
        <v>79</v>
      </c>
      <c r="O12" s="164">
        <f t="shared" si="1"/>
        <v>13.19</v>
      </c>
      <c r="P12" s="172" t="str">
        <f t="shared" si="2"/>
        <v>II A</v>
      </c>
      <c r="Q12" s="208" t="s">
        <v>222</v>
      </c>
    </row>
    <row r="13" spans="1:22" s="176" customFormat="1" ht="20.100000000000001" customHeight="1">
      <c r="A13" s="110">
        <v>5</v>
      </c>
      <c r="B13" s="166">
        <v>71</v>
      </c>
      <c r="C13" s="204" t="s">
        <v>223</v>
      </c>
      <c r="D13" s="205" t="s">
        <v>224</v>
      </c>
      <c r="E13" s="206" t="s">
        <v>225</v>
      </c>
      <c r="F13" s="207" t="s">
        <v>117</v>
      </c>
      <c r="G13" s="171">
        <f t="shared" si="0"/>
        <v>716</v>
      </c>
      <c r="H13" s="172">
        <v>12.69</v>
      </c>
      <c r="I13" s="172">
        <v>13.07</v>
      </c>
      <c r="J13" s="172">
        <v>13.19</v>
      </c>
      <c r="K13" s="173">
        <v>2</v>
      </c>
      <c r="L13" s="172" t="s">
        <v>79</v>
      </c>
      <c r="M13" s="172" t="s">
        <v>79</v>
      </c>
      <c r="N13" s="172" t="s">
        <v>79</v>
      </c>
      <c r="O13" s="164">
        <f t="shared" si="1"/>
        <v>13.19</v>
      </c>
      <c r="P13" s="172" t="str">
        <f t="shared" si="2"/>
        <v>II A</v>
      </c>
      <c r="Q13" s="208" t="s">
        <v>226</v>
      </c>
    </row>
    <row r="14" spans="1:22" s="176" customFormat="1" ht="20.100000000000001" customHeight="1">
      <c r="A14" s="110">
        <v>6</v>
      </c>
      <c r="B14" s="166">
        <v>70</v>
      </c>
      <c r="C14" s="204" t="s">
        <v>227</v>
      </c>
      <c r="D14" s="205" t="s">
        <v>228</v>
      </c>
      <c r="E14" s="206" t="s">
        <v>229</v>
      </c>
      <c r="F14" s="207" t="s">
        <v>117</v>
      </c>
      <c r="G14" s="171">
        <f t="shared" si="0"/>
        <v>710</v>
      </c>
      <c r="H14" s="172">
        <v>12.45</v>
      </c>
      <c r="I14" s="172" t="s">
        <v>79</v>
      </c>
      <c r="J14" s="172" t="s">
        <v>79</v>
      </c>
      <c r="K14" s="173">
        <v>1</v>
      </c>
      <c r="L14" s="172" t="s">
        <v>79</v>
      </c>
      <c r="M14" s="172">
        <v>12.47</v>
      </c>
      <c r="N14" s="172">
        <v>13.09</v>
      </c>
      <c r="O14" s="164">
        <f t="shared" si="1"/>
        <v>13.09</v>
      </c>
      <c r="P14" s="172" t="str">
        <f t="shared" si="2"/>
        <v>II A</v>
      </c>
      <c r="Q14" s="208" t="s">
        <v>226</v>
      </c>
    </row>
  </sheetData>
  <mergeCells count="1">
    <mergeCell ref="H7:N7"/>
  </mergeCells>
  <phoneticPr fontId="0" type="noConversion"/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zoomScaleNormal="100" workbookViewId="0">
      <selection activeCell="A10" sqref="A10"/>
    </sheetView>
  </sheetViews>
  <sheetFormatPr defaultRowHeight="12.75"/>
  <cols>
    <col min="1" max="1" width="5.42578125" style="450" customWidth="1"/>
    <col min="2" max="2" width="5" style="450" customWidth="1"/>
    <col min="3" max="3" width="10.28515625" style="450" customWidth="1"/>
    <col min="4" max="4" width="8.7109375" style="450" customWidth="1"/>
    <col min="5" max="5" width="12.42578125" style="471" customWidth="1"/>
    <col min="6" max="6" width="10.85546875" style="466" customWidth="1"/>
    <col min="7" max="7" width="6.42578125" style="454" customWidth="1"/>
    <col min="8" max="8" width="9" style="439" bestFit="1" customWidth="1"/>
    <col min="9" max="9" width="5.140625" style="455" customWidth="1"/>
    <col min="10" max="10" width="24.5703125" style="450" customWidth="1"/>
    <col min="11" max="12" width="6" style="440" customWidth="1"/>
    <col min="13" max="247" width="9.140625" style="450"/>
    <col min="248" max="16384" width="9.140625" style="441"/>
  </cols>
  <sheetData>
    <row r="1" spans="1:248" s="435" customFormat="1" ht="18.75">
      <c r="A1" s="434" t="s">
        <v>0</v>
      </c>
      <c r="E1" s="436"/>
      <c r="F1" s="437"/>
      <c r="G1" s="438"/>
      <c r="H1" s="439"/>
      <c r="I1" s="436"/>
      <c r="K1" s="440"/>
      <c r="L1" s="440"/>
      <c r="IN1" s="441"/>
    </row>
    <row r="2" spans="1:248" s="435" customFormat="1" ht="13.5" customHeight="1">
      <c r="E2" s="436"/>
      <c r="F2" s="437"/>
      <c r="G2" s="438"/>
      <c r="H2" s="439"/>
      <c r="I2" s="436"/>
      <c r="J2" s="442" t="s">
        <v>80</v>
      </c>
      <c r="K2" s="440"/>
      <c r="L2" s="440"/>
      <c r="IN2" s="441"/>
    </row>
    <row r="3" spans="1:248" s="443" customFormat="1" ht="4.5" customHeight="1">
      <c r="C3" s="444"/>
      <c r="E3" s="180">
        <v>1.1574074074074073E-5</v>
      </c>
      <c r="F3" s="445"/>
      <c r="G3" s="446"/>
      <c r="H3" s="447"/>
      <c r="I3" s="448"/>
      <c r="J3" s="449"/>
      <c r="K3" s="440"/>
      <c r="L3" s="440"/>
    </row>
    <row r="4" spans="1:248" ht="15.75">
      <c r="C4" s="451" t="s">
        <v>633</v>
      </c>
      <c r="E4" s="452"/>
      <c r="F4" s="453"/>
      <c r="J4" s="456" t="s">
        <v>3</v>
      </c>
    </row>
    <row r="5" spans="1:248" s="443" customFormat="1" ht="4.5" customHeight="1">
      <c r="C5" s="444"/>
      <c r="E5" s="457"/>
      <c r="F5" s="445"/>
      <c r="G5" s="446"/>
      <c r="H5" s="447"/>
      <c r="I5" s="448"/>
      <c r="J5" s="449"/>
      <c r="K5" s="440"/>
      <c r="L5" s="440"/>
    </row>
    <row r="6" spans="1:248" s="443" customFormat="1" ht="12.75" customHeight="1">
      <c r="C6" s="450"/>
      <c r="D6" s="458"/>
      <c r="E6" s="459"/>
      <c r="F6" s="460"/>
      <c r="G6" s="446"/>
      <c r="H6" s="447"/>
      <c r="I6" s="448"/>
      <c r="J6" s="449"/>
      <c r="K6" s="440"/>
      <c r="L6" s="440"/>
    </row>
    <row r="7" spans="1:248" s="443" customFormat="1" ht="6" customHeight="1">
      <c r="E7" s="461"/>
      <c r="F7" s="462"/>
      <c r="G7" s="446"/>
      <c r="H7" s="463"/>
      <c r="I7" s="448"/>
      <c r="J7" s="449"/>
      <c r="K7" s="440"/>
      <c r="L7" s="440"/>
    </row>
    <row r="8" spans="1:248" ht="15.75">
      <c r="D8" s="464" t="s">
        <v>43</v>
      </c>
      <c r="E8" s="464" t="s">
        <v>634</v>
      </c>
      <c r="F8" s="465" t="s">
        <v>635</v>
      </c>
      <c r="G8" s="441"/>
      <c r="H8" s="466"/>
      <c r="I8" s="440"/>
      <c r="J8" s="440"/>
      <c r="K8" s="450"/>
      <c r="L8" s="450"/>
      <c r="IL8" s="441"/>
      <c r="IM8" s="441"/>
    </row>
    <row r="9" spans="1:248" ht="15.75">
      <c r="D9" s="467">
        <v>1</v>
      </c>
      <c r="E9" s="468" t="s">
        <v>26</v>
      </c>
      <c r="F9" s="465" t="s">
        <v>636</v>
      </c>
      <c r="G9" s="441"/>
      <c r="H9" s="466"/>
      <c r="I9" s="440"/>
      <c r="J9" s="440"/>
      <c r="K9" s="450"/>
      <c r="L9" s="450"/>
      <c r="IL9" s="441"/>
      <c r="IM9" s="441"/>
    </row>
    <row r="10" spans="1:248" ht="15.75">
      <c r="D10" s="467">
        <v>2</v>
      </c>
      <c r="E10" s="468" t="s">
        <v>21</v>
      </c>
      <c r="F10" s="465" t="s">
        <v>637</v>
      </c>
      <c r="G10" s="441"/>
      <c r="H10" s="466"/>
      <c r="I10" s="440"/>
      <c r="J10" s="440"/>
      <c r="K10" s="450"/>
      <c r="L10" s="450"/>
      <c r="IL10" s="441"/>
      <c r="IM10" s="441"/>
    </row>
    <row r="11" spans="1:248" ht="15.75">
      <c r="D11" s="467">
        <v>3</v>
      </c>
      <c r="E11" s="468" t="s">
        <v>48</v>
      </c>
      <c r="F11" s="465" t="s">
        <v>638</v>
      </c>
      <c r="G11" s="441"/>
      <c r="H11" s="466"/>
      <c r="I11" s="440"/>
      <c r="J11" s="440"/>
      <c r="K11" s="450"/>
      <c r="L11" s="450"/>
      <c r="IL11" s="441"/>
      <c r="IM11" s="441"/>
    </row>
    <row r="12" spans="1:248" ht="15.75">
      <c r="D12" s="469">
        <v>4</v>
      </c>
      <c r="E12" s="468" t="s">
        <v>59</v>
      </c>
      <c r="F12" s="470" t="s">
        <v>639</v>
      </c>
      <c r="G12" s="441"/>
      <c r="H12" s="466"/>
      <c r="I12" s="440"/>
      <c r="J12" s="440"/>
      <c r="K12" s="450"/>
      <c r="L12" s="450"/>
      <c r="IL12" s="441"/>
      <c r="IM12" s="441"/>
    </row>
    <row r="13" spans="1:248" ht="15.75">
      <c r="D13" s="469">
        <v>5</v>
      </c>
      <c r="E13" s="468" t="s">
        <v>172</v>
      </c>
      <c r="F13" s="470" t="s">
        <v>640</v>
      </c>
      <c r="G13" s="441"/>
      <c r="H13" s="466"/>
      <c r="I13" s="440"/>
      <c r="J13" s="440"/>
      <c r="K13" s="450"/>
      <c r="L13" s="450"/>
      <c r="IL13" s="441"/>
      <c r="IM13" s="441"/>
    </row>
    <row r="14" spans="1:248" ht="15.75">
      <c r="D14" s="469">
        <v>6</v>
      </c>
      <c r="E14" s="468" t="s">
        <v>41</v>
      </c>
      <c r="F14" s="470" t="s">
        <v>641</v>
      </c>
      <c r="G14" s="441"/>
      <c r="H14" s="466"/>
      <c r="I14" s="440"/>
      <c r="J14" s="440"/>
      <c r="K14" s="450"/>
      <c r="L14" s="450"/>
      <c r="IL14" s="441"/>
      <c r="IM14" s="441"/>
    </row>
    <row r="15" spans="1:248" ht="15.75">
      <c r="D15" s="469">
        <v>7</v>
      </c>
      <c r="E15" s="468" t="s">
        <v>117</v>
      </c>
      <c r="F15" s="470" t="s">
        <v>642</v>
      </c>
      <c r="G15" s="441"/>
      <c r="H15" s="466"/>
      <c r="I15" s="440"/>
      <c r="J15" s="440"/>
      <c r="K15" s="450"/>
      <c r="L15" s="450"/>
      <c r="IL15" s="441"/>
      <c r="IM15" s="441"/>
    </row>
    <row r="16" spans="1:248" ht="15.75">
      <c r="D16" s="469">
        <v>8</v>
      </c>
      <c r="E16" s="468" t="s">
        <v>236</v>
      </c>
      <c r="F16" s="470" t="s">
        <v>643</v>
      </c>
      <c r="G16" s="441"/>
      <c r="H16" s="466"/>
      <c r="I16" s="440"/>
      <c r="J16" s="440"/>
      <c r="K16" s="450"/>
      <c r="L16" s="450"/>
      <c r="IL16" s="441"/>
      <c r="IM16" s="441"/>
    </row>
    <row r="17" spans="4:247" ht="15.75">
      <c r="D17" s="469">
        <v>9</v>
      </c>
      <c r="E17" s="468" t="s">
        <v>32</v>
      </c>
      <c r="F17" s="470" t="s">
        <v>644</v>
      </c>
      <c r="G17" s="441"/>
      <c r="H17" s="466"/>
      <c r="I17" s="440"/>
      <c r="J17" s="440"/>
      <c r="K17" s="450"/>
      <c r="L17" s="450"/>
      <c r="IL17" s="441"/>
      <c r="IM17" s="441"/>
    </row>
    <row r="18" spans="4:247" ht="15.75">
      <c r="D18" s="469">
        <v>10</v>
      </c>
      <c r="E18" s="468" t="s">
        <v>112</v>
      </c>
      <c r="F18" s="470" t="s">
        <v>645</v>
      </c>
      <c r="G18" s="441"/>
      <c r="H18" s="466"/>
      <c r="I18" s="440"/>
      <c r="J18" s="440"/>
      <c r="K18" s="450"/>
      <c r="L18" s="450"/>
      <c r="IL18" s="441"/>
      <c r="IM18" s="441"/>
    </row>
    <row r="19" spans="4:247" ht="15.75">
      <c r="D19" s="469">
        <v>11</v>
      </c>
      <c r="E19" s="468" t="s">
        <v>358</v>
      </c>
      <c r="F19" s="470" t="s">
        <v>646</v>
      </c>
      <c r="G19" s="441"/>
      <c r="H19" s="466"/>
      <c r="I19" s="440"/>
      <c r="J19" s="440"/>
      <c r="K19" s="450"/>
      <c r="L19" s="450"/>
      <c r="IL19" s="441"/>
      <c r="IM19" s="441"/>
    </row>
    <row r="20" spans="4:247" ht="15.75">
      <c r="D20" s="469">
        <v>12</v>
      </c>
      <c r="E20" s="468" t="s">
        <v>323</v>
      </c>
      <c r="F20" s="470" t="s">
        <v>647</v>
      </c>
      <c r="G20" s="471"/>
      <c r="H20" s="466"/>
      <c r="I20" s="440"/>
      <c r="J20" s="440"/>
      <c r="K20" s="450"/>
      <c r="L20" s="450"/>
      <c r="IL20" s="441"/>
      <c r="IM20" s="441"/>
    </row>
    <row r="21" spans="4:247">
      <c r="D21" s="471"/>
      <c r="E21" s="466"/>
      <c r="F21" s="454"/>
      <c r="G21" s="439"/>
      <c r="H21" s="455"/>
      <c r="I21" s="450"/>
      <c r="K21" s="450"/>
      <c r="L21" s="450"/>
      <c r="II21" s="441"/>
      <c r="IJ21" s="441"/>
      <c r="IK21" s="441"/>
      <c r="IL21" s="441"/>
      <c r="IM21" s="441"/>
    </row>
    <row r="22" spans="4:247">
      <c r="D22" s="471"/>
      <c r="E22" s="466"/>
      <c r="F22" s="454"/>
      <c r="G22" s="439"/>
      <c r="H22" s="455"/>
      <c r="I22" s="450"/>
      <c r="J22" s="440"/>
      <c r="L22" s="450"/>
      <c r="IM22" s="44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CCFF"/>
  </sheetPr>
  <dimension ref="A1:IK56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6" style="66" customWidth="1"/>
    <col min="9" max="9" width="4.7109375" style="67" customWidth="1"/>
    <col min="10" max="10" width="7" style="66" customWidth="1"/>
    <col min="11" max="11" width="4.7109375" style="67" customWidth="1"/>
    <col min="12" max="12" width="5.140625" style="28" customWidth="1"/>
    <col min="13" max="13" width="24.5703125" style="23" customWidth="1"/>
    <col min="14" max="14" width="4.42578125" style="23" hidden="1" customWidth="1"/>
    <col min="15" max="15" width="4.28515625" style="191" hidden="1" customWidth="1"/>
    <col min="16" max="16" width="4.28515625" style="23" hidden="1" customWidth="1"/>
    <col min="17" max="242" width="9.140625" style="23"/>
    <col min="243" max="16384" width="9.140625" style="70"/>
  </cols>
  <sheetData>
    <row r="1" spans="1:245" s="2" customFormat="1" ht="18.75">
      <c r="A1" s="1" t="s">
        <v>0</v>
      </c>
      <c r="E1" s="3"/>
      <c r="F1" s="4"/>
      <c r="G1" s="5"/>
      <c r="H1" s="66"/>
      <c r="I1" s="67"/>
      <c r="J1" s="66"/>
      <c r="K1" s="67"/>
      <c r="L1" s="3"/>
      <c r="O1" s="191"/>
      <c r="II1" s="70"/>
    </row>
    <row r="2" spans="1:245" s="2" customFormat="1" ht="13.15" customHeight="1">
      <c r="E2" s="3"/>
      <c r="F2" s="4"/>
      <c r="G2" s="5"/>
      <c r="H2" s="66"/>
      <c r="I2" s="67"/>
      <c r="J2" s="66"/>
      <c r="K2" s="67"/>
      <c r="L2" s="3"/>
      <c r="M2" s="11" t="s">
        <v>1</v>
      </c>
      <c r="O2" s="191"/>
      <c r="II2" s="70"/>
    </row>
    <row r="3" spans="1:245" s="12" customFormat="1" ht="4.5" customHeight="1">
      <c r="C3" s="13"/>
      <c r="E3" s="14"/>
      <c r="F3" s="15"/>
      <c r="G3" s="71"/>
      <c r="H3" s="72"/>
      <c r="I3" s="73"/>
      <c r="J3" s="72"/>
      <c r="K3" s="73"/>
      <c r="L3" s="74"/>
      <c r="M3" s="20"/>
      <c r="O3" s="191"/>
    </row>
    <row r="4" spans="1:245" ht="15.75">
      <c r="C4" s="24" t="s">
        <v>353</v>
      </c>
      <c r="E4" s="25"/>
      <c r="F4" s="26"/>
      <c r="M4" s="29" t="s">
        <v>3</v>
      </c>
    </row>
    <row r="5" spans="1:245" s="12" customFormat="1" ht="4.5" customHeight="1">
      <c r="C5" s="13"/>
      <c r="E5" s="14"/>
      <c r="F5" s="15"/>
      <c r="G5" s="71"/>
      <c r="H5" s="72"/>
      <c r="I5" s="73"/>
      <c r="J5" s="72"/>
      <c r="K5" s="73"/>
      <c r="L5" s="74"/>
      <c r="M5" s="20"/>
      <c r="O5" s="191"/>
    </row>
    <row r="6" spans="1:245" s="12" customFormat="1" ht="10.5" customHeight="1">
      <c r="C6" s="23"/>
      <c r="D6" s="33">
        <v>1</v>
      </c>
      <c r="E6" s="34" t="s">
        <v>427</v>
      </c>
      <c r="F6" s="35"/>
      <c r="G6" s="71"/>
      <c r="H6" s="72"/>
      <c r="I6" s="73"/>
      <c r="J6" s="72"/>
      <c r="K6" s="73"/>
      <c r="L6" s="74"/>
      <c r="M6" s="20"/>
      <c r="O6" s="191"/>
    </row>
    <row r="7" spans="1:245" s="12" customFormat="1" ht="3.75" customHeight="1">
      <c r="E7" s="36"/>
      <c r="F7" s="37"/>
      <c r="G7" s="71"/>
      <c r="H7" s="77"/>
      <c r="I7" s="73"/>
      <c r="J7" s="77"/>
      <c r="K7" s="73"/>
      <c r="L7" s="74"/>
      <c r="M7" s="20"/>
      <c r="O7" s="191"/>
    </row>
    <row r="8" spans="1:245" ht="11.25" customHeight="1">
      <c r="A8" s="39" t="s">
        <v>5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141</v>
      </c>
      <c r="I8" s="82" t="s">
        <v>13</v>
      </c>
      <c r="J8" s="81" t="s">
        <v>4</v>
      </c>
      <c r="K8" s="82" t="s">
        <v>13</v>
      </c>
      <c r="L8" s="48" t="s">
        <v>15</v>
      </c>
      <c r="M8" s="39" t="s">
        <v>16</v>
      </c>
      <c r="N8" s="23" t="s">
        <v>17</v>
      </c>
      <c r="O8" s="193" t="s">
        <v>5</v>
      </c>
    </row>
    <row r="9" spans="1:245" s="92" customFormat="1" ht="16.350000000000001" customHeight="1">
      <c r="A9" s="194">
        <v>1</v>
      </c>
      <c r="B9" s="195">
        <v>149</v>
      </c>
      <c r="C9" s="53" t="s">
        <v>399</v>
      </c>
      <c r="D9" s="54" t="s">
        <v>400</v>
      </c>
      <c r="E9" s="55" t="s">
        <v>401</v>
      </c>
      <c r="F9" s="56" t="s">
        <v>48</v>
      </c>
      <c r="G9" s="251">
        <f>IF(ISBLANK(H9),"",TRUNC(68.6*(H9-10.7)^2))</f>
        <v>617</v>
      </c>
      <c r="H9" s="254">
        <v>7.7</v>
      </c>
      <c r="I9" s="253">
        <v>0.187</v>
      </c>
      <c r="J9" s="254"/>
      <c r="K9" s="253"/>
      <c r="L9" s="255" t="str">
        <f t="shared" ref="L9:L14" si="0">IF(ISBLANK(H9),"",IF(H9&gt;8.1,"",IF(H9&lt;=6.7,"TSM",IF(H9&lt;=6.84,"SM",IF(H9&lt;=7,"KSM",IF(H9&lt;=7.3,"I A",IF(H9&lt;=7.65,"II A",IF(H9&lt;=8.1,"III A"))))))))</f>
        <v>III A</v>
      </c>
      <c r="M9" s="61" t="s">
        <v>263</v>
      </c>
      <c r="N9" s="256">
        <v>7.63</v>
      </c>
      <c r="O9" s="193">
        <v>1</v>
      </c>
      <c r="P9" s="91">
        <v>2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</row>
    <row r="10" spans="1:245" s="92" customFormat="1" ht="16.350000000000001" customHeight="1">
      <c r="A10" s="194">
        <v>2</v>
      </c>
      <c r="B10" s="195">
        <v>111</v>
      </c>
      <c r="C10" s="53" t="s">
        <v>376</v>
      </c>
      <c r="D10" s="54" t="s">
        <v>377</v>
      </c>
      <c r="E10" s="55" t="s">
        <v>378</v>
      </c>
      <c r="F10" s="56" t="s">
        <v>112</v>
      </c>
      <c r="G10" s="251">
        <f>IF(ISBLANK(H10),"",TRUNC(68.6*(H10-10.7)^2))</f>
        <v>756</v>
      </c>
      <c r="H10" s="254">
        <v>7.38</v>
      </c>
      <c r="I10" s="253">
        <v>0.16400000000000001</v>
      </c>
      <c r="J10" s="254"/>
      <c r="K10" s="253"/>
      <c r="L10" s="255" t="str">
        <f t="shared" si="0"/>
        <v>II A</v>
      </c>
      <c r="M10" s="61" t="s">
        <v>379</v>
      </c>
      <c r="N10" s="256">
        <v>7.37</v>
      </c>
      <c r="O10" s="193">
        <v>2</v>
      </c>
      <c r="P10" s="91">
        <v>2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</row>
    <row r="11" spans="1:245" s="92" customFormat="1" ht="16.350000000000001" customHeight="1">
      <c r="A11" s="194">
        <v>3</v>
      </c>
      <c r="B11" s="195">
        <v>132</v>
      </c>
      <c r="C11" s="53" t="s">
        <v>227</v>
      </c>
      <c r="D11" s="54" t="s">
        <v>360</v>
      </c>
      <c r="E11" s="55" t="s">
        <v>361</v>
      </c>
      <c r="F11" s="56" t="s">
        <v>26</v>
      </c>
      <c r="G11" s="251">
        <f>IF(ISBLANK(H11),"",TRUNC(68.6*(H11-10.7)^2))</f>
        <v>939</v>
      </c>
      <c r="H11" s="254">
        <v>7</v>
      </c>
      <c r="I11" s="253">
        <v>0.14799999999999999</v>
      </c>
      <c r="J11" s="254"/>
      <c r="K11" s="253"/>
      <c r="L11" s="255" t="str">
        <f t="shared" si="0"/>
        <v>KSM</v>
      </c>
      <c r="M11" s="61" t="s">
        <v>191</v>
      </c>
      <c r="N11" s="256">
        <v>6.93</v>
      </c>
      <c r="O11" s="193">
        <v>3</v>
      </c>
      <c r="P11" s="91">
        <v>2</v>
      </c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</row>
    <row r="12" spans="1:245" s="92" customFormat="1" ht="16.350000000000001" customHeight="1">
      <c r="A12" s="194">
        <v>4</v>
      </c>
      <c r="B12" s="195">
        <v>53</v>
      </c>
      <c r="C12" s="53" t="s">
        <v>238</v>
      </c>
      <c r="D12" s="54" t="s">
        <v>371</v>
      </c>
      <c r="E12" s="55" t="s">
        <v>372</v>
      </c>
      <c r="F12" s="56" t="s">
        <v>59</v>
      </c>
      <c r="G12" s="251">
        <f>IF(ISBLANK(H12),"",TRUNC(68.6*(H12-10.7)^2))</f>
        <v>874</v>
      </c>
      <c r="H12" s="254">
        <v>7.13</v>
      </c>
      <c r="I12" s="253">
        <v>0.13800000000000001</v>
      </c>
      <c r="J12" s="254"/>
      <c r="K12" s="253"/>
      <c r="L12" s="255" t="str">
        <f t="shared" si="0"/>
        <v>I A</v>
      </c>
      <c r="M12" s="61" t="s">
        <v>367</v>
      </c>
      <c r="N12" s="256">
        <v>7.2</v>
      </c>
      <c r="O12" s="193">
        <v>4</v>
      </c>
      <c r="P12" s="91">
        <v>2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</row>
    <row r="13" spans="1:245" s="92" customFormat="1" ht="16.350000000000001" customHeight="1">
      <c r="A13" s="194">
        <v>5</v>
      </c>
      <c r="B13" s="195">
        <v>172</v>
      </c>
      <c r="C13" s="53" t="s">
        <v>316</v>
      </c>
      <c r="D13" s="54" t="s">
        <v>420</v>
      </c>
      <c r="E13" s="55" t="s">
        <v>421</v>
      </c>
      <c r="F13" s="56" t="s">
        <v>80</v>
      </c>
      <c r="G13" s="251" t="s">
        <v>73</v>
      </c>
      <c r="H13" s="254">
        <v>8.02</v>
      </c>
      <c r="I13" s="253">
        <v>0.115</v>
      </c>
      <c r="J13" s="254"/>
      <c r="K13" s="253"/>
      <c r="L13" s="255" t="str">
        <f t="shared" si="0"/>
        <v>III A</v>
      </c>
      <c r="M13" s="61" t="s">
        <v>422</v>
      </c>
      <c r="N13" s="256" t="s">
        <v>28</v>
      </c>
      <c r="O13" s="193">
        <v>5</v>
      </c>
      <c r="P13" s="91">
        <v>2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</row>
    <row r="14" spans="1:245" s="92" customFormat="1" ht="16.350000000000001" customHeight="1">
      <c r="A14" s="194">
        <v>6</v>
      </c>
      <c r="B14" s="195"/>
      <c r="C14" s="53"/>
      <c r="D14" s="54"/>
      <c r="E14" s="55"/>
      <c r="F14" s="56"/>
      <c r="G14" s="251"/>
      <c r="H14" s="254"/>
      <c r="I14" s="253"/>
      <c r="J14" s="254"/>
      <c r="K14" s="253"/>
      <c r="L14" s="255" t="str">
        <f t="shared" si="0"/>
        <v/>
      </c>
      <c r="M14" s="61"/>
      <c r="N14" s="256"/>
      <c r="O14" s="193">
        <v>6</v>
      </c>
      <c r="P14" s="91">
        <v>2</v>
      </c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</row>
    <row r="15" spans="1:245" s="12" customFormat="1" ht="4.5" customHeight="1">
      <c r="C15" s="13"/>
      <c r="E15" s="14"/>
      <c r="F15" s="15"/>
      <c r="G15" s="71"/>
      <c r="H15" s="72"/>
      <c r="I15" s="73"/>
      <c r="J15" s="72"/>
      <c r="K15" s="73"/>
      <c r="L15" s="74"/>
      <c r="M15" s="20"/>
      <c r="O15" s="191"/>
    </row>
    <row r="16" spans="1:245" s="12" customFormat="1" ht="10.5" customHeight="1">
      <c r="C16" s="23"/>
      <c r="D16" s="33">
        <v>2</v>
      </c>
      <c r="E16" s="34" t="s">
        <v>427</v>
      </c>
      <c r="F16" s="35"/>
      <c r="G16" s="71"/>
      <c r="H16" s="72"/>
      <c r="I16" s="73"/>
      <c r="J16" s="72"/>
      <c r="K16" s="73"/>
      <c r="L16" s="74"/>
      <c r="M16" s="20"/>
      <c r="O16" s="191"/>
    </row>
    <row r="17" spans="1:245" s="12" customFormat="1" ht="3.75" customHeight="1">
      <c r="E17" s="36"/>
      <c r="F17" s="37"/>
      <c r="G17" s="71"/>
      <c r="H17" s="77"/>
      <c r="I17" s="73"/>
      <c r="J17" s="77"/>
      <c r="K17" s="73"/>
      <c r="L17" s="74"/>
      <c r="M17" s="20"/>
      <c r="O17" s="191"/>
    </row>
    <row r="18" spans="1:245" ht="11.25" customHeight="1">
      <c r="A18" s="39" t="s">
        <v>5</v>
      </c>
      <c r="B18" s="39" t="s">
        <v>6</v>
      </c>
      <c r="C18" s="41" t="s">
        <v>7</v>
      </c>
      <c r="D18" s="42" t="s">
        <v>8</v>
      </c>
      <c r="E18" s="80" t="s">
        <v>9</v>
      </c>
      <c r="F18" s="44" t="s">
        <v>10</v>
      </c>
      <c r="G18" s="45" t="s">
        <v>11</v>
      </c>
      <c r="H18" s="81" t="s">
        <v>141</v>
      </c>
      <c r="I18" s="82" t="s">
        <v>13</v>
      </c>
      <c r="J18" s="81" t="s">
        <v>4</v>
      </c>
      <c r="K18" s="82" t="s">
        <v>13</v>
      </c>
      <c r="L18" s="48" t="s">
        <v>15</v>
      </c>
      <c r="M18" s="39" t="s">
        <v>16</v>
      </c>
      <c r="N18" s="23" t="s">
        <v>17</v>
      </c>
      <c r="O18" s="193" t="s">
        <v>5</v>
      </c>
    </row>
    <row r="19" spans="1:245" s="92" customFormat="1" ht="16.350000000000001" customHeight="1">
      <c r="A19" s="194">
        <v>1</v>
      </c>
      <c r="B19" s="195">
        <v>11</v>
      </c>
      <c r="C19" s="53" t="s">
        <v>233</v>
      </c>
      <c r="D19" s="54" t="s">
        <v>334</v>
      </c>
      <c r="E19" s="55" t="s">
        <v>423</v>
      </c>
      <c r="F19" s="56" t="s">
        <v>21</v>
      </c>
      <c r="G19" s="251"/>
      <c r="H19" s="254" t="s">
        <v>72</v>
      </c>
      <c r="I19" s="253"/>
      <c r="J19" s="254"/>
      <c r="K19" s="253"/>
      <c r="L19" s="255" t="str">
        <f t="shared" ref="L19:L24" si="1">IF(ISBLANK(H19),"",IF(H19&gt;8.1,"",IF(H19&lt;=6.7,"TSM",IF(H19&lt;=6.84,"SM",IF(H19&lt;=7,"KSM",IF(H19&lt;=7.3,"I A",IF(H19&lt;=7.65,"II A",IF(H19&lt;=8.1,"III A"))))))))</f>
        <v/>
      </c>
      <c r="M19" s="61" t="s">
        <v>135</v>
      </c>
      <c r="N19" s="256">
        <v>8.83</v>
      </c>
      <c r="O19" s="193">
        <v>1</v>
      </c>
      <c r="P19" s="91">
        <v>1</v>
      </c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</row>
    <row r="20" spans="1:245" s="92" customFormat="1" ht="16.350000000000001" customHeight="1">
      <c r="A20" s="194">
        <v>2</v>
      </c>
      <c r="B20" s="195">
        <v>30</v>
      </c>
      <c r="C20" s="53" t="s">
        <v>380</v>
      </c>
      <c r="D20" s="54" t="s">
        <v>381</v>
      </c>
      <c r="E20" s="55" t="s">
        <v>382</v>
      </c>
      <c r="F20" s="56" t="s">
        <v>26</v>
      </c>
      <c r="G20" s="251">
        <f>IF(ISBLANK(H20),"",TRUNC(68.6*(H20-10.7)^2))</f>
        <v>738</v>
      </c>
      <c r="H20" s="254">
        <v>7.42</v>
      </c>
      <c r="I20" s="253">
        <v>0.13900000000000001</v>
      </c>
      <c r="J20" s="254"/>
      <c r="K20" s="253"/>
      <c r="L20" s="255" t="str">
        <f t="shared" si="1"/>
        <v>II A</v>
      </c>
      <c r="M20" s="61" t="s">
        <v>27</v>
      </c>
      <c r="N20" s="256">
        <v>7.31</v>
      </c>
      <c r="O20" s="193">
        <v>2</v>
      </c>
      <c r="P20" s="91">
        <v>1</v>
      </c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</row>
    <row r="21" spans="1:245" s="92" customFormat="1" ht="16.350000000000001" customHeight="1">
      <c r="A21" s="194">
        <v>3</v>
      </c>
      <c r="B21" s="195">
        <v>23</v>
      </c>
      <c r="C21" s="53" t="s">
        <v>254</v>
      </c>
      <c r="D21" s="54" t="s">
        <v>356</v>
      </c>
      <c r="E21" s="55" t="s">
        <v>357</v>
      </c>
      <c r="F21" s="56" t="s">
        <v>358</v>
      </c>
      <c r="G21" s="251">
        <f>IF(ISBLANK(H21),"",TRUNC(68.6*(H21-10.7)^2))</f>
        <v>985</v>
      </c>
      <c r="H21" s="254">
        <v>6.91</v>
      </c>
      <c r="I21" s="253">
        <v>0.13</v>
      </c>
      <c r="J21" s="254"/>
      <c r="K21" s="253"/>
      <c r="L21" s="255" t="str">
        <f t="shared" si="1"/>
        <v>KSM</v>
      </c>
      <c r="M21" s="61" t="s">
        <v>359</v>
      </c>
      <c r="N21" s="256">
        <v>6.85</v>
      </c>
      <c r="O21" s="193">
        <v>3</v>
      </c>
      <c r="P21" s="91">
        <v>1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</row>
    <row r="22" spans="1:245" s="92" customFormat="1" ht="16.350000000000001" customHeight="1">
      <c r="A22" s="194">
        <v>4</v>
      </c>
      <c r="B22" s="195">
        <v>181</v>
      </c>
      <c r="C22" s="53" t="s">
        <v>373</v>
      </c>
      <c r="D22" s="54" t="s">
        <v>374</v>
      </c>
      <c r="E22" s="55" t="s">
        <v>375</v>
      </c>
      <c r="F22" s="56" t="s">
        <v>26</v>
      </c>
      <c r="G22" s="251">
        <f>IF(ISBLANK(H22),"",TRUNC(68.6*(H22-10.7)^2))</f>
        <v>835</v>
      </c>
      <c r="H22" s="254">
        <v>7.21</v>
      </c>
      <c r="I22" s="253">
        <v>0.112</v>
      </c>
      <c r="J22" s="254"/>
      <c r="K22" s="253"/>
      <c r="L22" s="255" t="str">
        <f t="shared" si="1"/>
        <v>I A</v>
      </c>
      <c r="M22" s="61" t="s">
        <v>27</v>
      </c>
      <c r="N22" s="256">
        <v>7.23</v>
      </c>
      <c r="O22" s="193">
        <v>4</v>
      </c>
      <c r="P22" s="91">
        <v>1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</row>
    <row r="23" spans="1:245" s="92" customFormat="1" ht="16.350000000000001" customHeight="1">
      <c r="A23" s="194">
        <v>5</v>
      </c>
      <c r="B23" s="195">
        <v>167</v>
      </c>
      <c r="C23" s="53" t="s">
        <v>254</v>
      </c>
      <c r="D23" s="54" t="s">
        <v>255</v>
      </c>
      <c r="E23" s="55" t="s">
        <v>256</v>
      </c>
      <c r="F23" s="56" t="s">
        <v>41</v>
      </c>
      <c r="G23" s="251">
        <f>IF(ISBLANK(H23),"",TRUNC(68.6*(H23-10.7)^2))</f>
        <v>629</v>
      </c>
      <c r="H23" s="254">
        <v>7.67</v>
      </c>
      <c r="I23" s="253">
        <v>0.14299999999999999</v>
      </c>
      <c r="J23" s="254"/>
      <c r="K23" s="253"/>
      <c r="L23" s="255" t="str">
        <f t="shared" si="1"/>
        <v>III A</v>
      </c>
      <c r="M23" s="61" t="s">
        <v>257</v>
      </c>
      <c r="N23" s="256">
        <v>7.83</v>
      </c>
      <c r="O23" s="193">
        <v>5</v>
      </c>
      <c r="P23" s="91">
        <v>1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</row>
    <row r="24" spans="1:245" s="92" customFormat="1" ht="16.350000000000001" customHeight="1">
      <c r="A24" s="194">
        <v>6</v>
      </c>
      <c r="B24" s="195">
        <v>150</v>
      </c>
      <c r="C24" s="53" t="s">
        <v>395</v>
      </c>
      <c r="D24" s="54" t="s">
        <v>396</v>
      </c>
      <c r="E24" s="55" t="s">
        <v>397</v>
      </c>
      <c r="F24" s="56" t="s">
        <v>48</v>
      </c>
      <c r="G24" s="251">
        <f>IF(ISBLANK(H24),"",TRUNC(68.6*(H24-10.7)^2))</f>
        <v>646</v>
      </c>
      <c r="H24" s="254">
        <v>7.63</v>
      </c>
      <c r="I24" s="253">
        <v>0.158</v>
      </c>
      <c r="J24" s="254"/>
      <c r="K24" s="253"/>
      <c r="L24" s="255" t="str">
        <f t="shared" si="1"/>
        <v>II A</v>
      </c>
      <c r="M24" s="61" t="s">
        <v>398</v>
      </c>
      <c r="N24" s="256" t="s">
        <v>28</v>
      </c>
      <c r="O24" s="193">
        <v>6</v>
      </c>
      <c r="P24" s="91">
        <v>2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</row>
    <row r="25" spans="1:245" s="12" customFormat="1" ht="4.5" customHeight="1">
      <c r="C25" s="13"/>
      <c r="E25" s="14"/>
      <c r="F25" s="15"/>
      <c r="G25" s="71"/>
      <c r="H25" s="72"/>
      <c r="I25" s="73"/>
      <c r="J25" s="72"/>
      <c r="K25" s="73"/>
      <c r="L25" s="74"/>
      <c r="M25" s="20"/>
      <c r="O25" s="191"/>
    </row>
    <row r="26" spans="1:245" s="12" customFormat="1" ht="10.5" customHeight="1">
      <c r="C26" s="23"/>
      <c r="D26" s="33">
        <v>3</v>
      </c>
      <c r="E26" s="34" t="s">
        <v>427</v>
      </c>
      <c r="F26" s="35"/>
      <c r="G26" s="71"/>
      <c r="H26" s="72"/>
      <c r="I26" s="73"/>
      <c r="J26" s="72"/>
      <c r="K26" s="73"/>
      <c r="L26" s="74"/>
      <c r="M26" s="20"/>
      <c r="O26" s="191"/>
    </row>
    <row r="27" spans="1:245" s="12" customFormat="1" ht="3.75" customHeight="1">
      <c r="E27" s="36"/>
      <c r="F27" s="37"/>
      <c r="G27" s="71"/>
      <c r="H27" s="77"/>
      <c r="I27" s="73"/>
      <c r="J27" s="77"/>
      <c r="K27" s="73"/>
      <c r="L27" s="74"/>
      <c r="M27" s="20"/>
      <c r="O27" s="191"/>
    </row>
    <row r="28" spans="1:245" ht="11.25" customHeight="1">
      <c r="A28" s="39" t="s">
        <v>5</v>
      </c>
      <c r="B28" s="39" t="s">
        <v>6</v>
      </c>
      <c r="C28" s="41" t="s">
        <v>7</v>
      </c>
      <c r="D28" s="42" t="s">
        <v>8</v>
      </c>
      <c r="E28" s="80" t="s">
        <v>9</v>
      </c>
      <c r="F28" s="44" t="s">
        <v>10</v>
      </c>
      <c r="G28" s="45" t="s">
        <v>11</v>
      </c>
      <c r="H28" s="81" t="s">
        <v>141</v>
      </c>
      <c r="I28" s="82" t="s">
        <v>13</v>
      </c>
      <c r="J28" s="81" t="s">
        <v>4</v>
      </c>
      <c r="K28" s="82" t="s">
        <v>13</v>
      </c>
      <c r="L28" s="48" t="s">
        <v>15</v>
      </c>
      <c r="M28" s="39" t="s">
        <v>16</v>
      </c>
      <c r="N28" s="23" t="s">
        <v>17</v>
      </c>
      <c r="O28" s="193" t="s">
        <v>5</v>
      </c>
    </row>
    <row r="29" spans="1:245" s="92" customFormat="1" ht="16.350000000000001" customHeight="1">
      <c r="A29" s="194">
        <v>1</v>
      </c>
      <c r="B29" s="195">
        <v>61</v>
      </c>
      <c r="C29" s="53" t="s">
        <v>405</v>
      </c>
      <c r="D29" s="54" t="s">
        <v>406</v>
      </c>
      <c r="E29" s="55" t="s">
        <v>407</v>
      </c>
      <c r="F29" s="56" t="s">
        <v>236</v>
      </c>
      <c r="G29" s="251">
        <f t="shared" ref="G29:G34" si="2">IF(ISBLANK(H29),"",TRUNC(68.6*(H29-10.7)^2))</f>
        <v>537</v>
      </c>
      <c r="H29" s="254">
        <v>7.9</v>
      </c>
      <c r="I29" s="253">
        <v>0.189</v>
      </c>
      <c r="J29" s="254"/>
      <c r="K29" s="253"/>
      <c r="L29" s="255" t="str">
        <f t="shared" ref="L29:L34" si="3">IF(ISBLANK(H29),"",IF(H29&gt;8.1,"",IF(H29&lt;=6.7,"TSM",IF(H29&lt;=6.84,"SM",IF(H29&lt;=7,"KSM",IF(H29&lt;=7.3,"I A",IF(H29&lt;=7.65,"II A",IF(H29&lt;=8.1,"III A"))))))))</f>
        <v>III A</v>
      </c>
      <c r="M29" s="61" t="s">
        <v>408</v>
      </c>
      <c r="N29" s="256" t="s">
        <v>28</v>
      </c>
      <c r="O29" s="193">
        <v>1</v>
      </c>
      <c r="P29" s="91">
        <v>3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</row>
    <row r="30" spans="1:245" s="92" customFormat="1" ht="16.350000000000001" customHeight="1">
      <c r="A30" s="194">
        <v>2</v>
      </c>
      <c r="B30" s="195">
        <v>138</v>
      </c>
      <c r="C30" s="53" t="s">
        <v>383</v>
      </c>
      <c r="D30" s="54" t="s">
        <v>384</v>
      </c>
      <c r="E30" s="55" t="s">
        <v>58</v>
      </c>
      <c r="F30" s="56" t="s">
        <v>172</v>
      </c>
      <c r="G30" s="251">
        <f t="shared" si="2"/>
        <v>738</v>
      </c>
      <c r="H30" s="254">
        <v>7.42</v>
      </c>
      <c r="I30" s="253">
        <v>0.17130000000000001</v>
      </c>
      <c r="J30" s="254"/>
      <c r="K30" s="253"/>
      <c r="L30" s="255" t="str">
        <f t="shared" si="3"/>
        <v>II A</v>
      </c>
      <c r="M30" s="61" t="s">
        <v>174</v>
      </c>
      <c r="N30" s="256">
        <v>7.39</v>
      </c>
      <c r="O30" s="193">
        <v>2</v>
      </c>
      <c r="P30" s="91">
        <v>3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</row>
    <row r="31" spans="1:245" s="92" customFormat="1" ht="16.350000000000001" customHeight="1">
      <c r="A31" s="194">
        <v>3</v>
      </c>
      <c r="B31" s="195">
        <v>55</v>
      </c>
      <c r="C31" s="53" t="s">
        <v>364</v>
      </c>
      <c r="D31" s="54" t="s">
        <v>365</v>
      </c>
      <c r="E31" s="55" t="s">
        <v>366</v>
      </c>
      <c r="F31" s="56" t="s">
        <v>59</v>
      </c>
      <c r="G31" s="251">
        <f t="shared" si="2"/>
        <v>889</v>
      </c>
      <c r="H31" s="254">
        <v>7.1</v>
      </c>
      <c r="I31" s="253">
        <v>0.13500000000000001</v>
      </c>
      <c r="J31" s="254"/>
      <c r="K31" s="253"/>
      <c r="L31" s="255" t="str">
        <f t="shared" si="3"/>
        <v>I A</v>
      </c>
      <c r="M31" s="61" t="s">
        <v>367</v>
      </c>
      <c r="N31" s="256">
        <v>6.99</v>
      </c>
      <c r="O31" s="193">
        <v>3</v>
      </c>
      <c r="P31" s="91">
        <v>3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</row>
    <row r="32" spans="1:245" s="92" customFormat="1" ht="16.350000000000001" customHeight="1">
      <c r="A32" s="194">
        <v>4</v>
      </c>
      <c r="B32" s="195">
        <v>134</v>
      </c>
      <c r="C32" s="53" t="s">
        <v>368</v>
      </c>
      <c r="D32" s="54" t="s">
        <v>369</v>
      </c>
      <c r="E32" s="55" t="s">
        <v>370</v>
      </c>
      <c r="F32" s="56" t="s">
        <v>26</v>
      </c>
      <c r="G32" s="251">
        <f t="shared" si="2"/>
        <v>864</v>
      </c>
      <c r="H32" s="254">
        <v>7.15</v>
      </c>
      <c r="I32" s="253">
        <v>0.16500000000000001</v>
      </c>
      <c r="J32" s="254"/>
      <c r="K32" s="253"/>
      <c r="L32" s="255" t="str">
        <f t="shared" si="3"/>
        <v>I A</v>
      </c>
      <c r="M32" s="61" t="s">
        <v>169</v>
      </c>
      <c r="N32" s="256">
        <v>7.1</v>
      </c>
      <c r="O32" s="193">
        <v>4</v>
      </c>
      <c r="P32" s="91">
        <v>3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</row>
    <row r="33" spans="1:245" s="92" customFormat="1" ht="16.350000000000001" customHeight="1">
      <c r="A33" s="194">
        <v>5</v>
      </c>
      <c r="B33" s="52">
        <v>72</v>
      </c>
      <c r="C33" s="53" t="s">
        <v>402</v>
      </c>
      <c r="D33" s="54" t="s">
        <v>403</v>
      </c>
      <c r="E33" s="55" t="s">
        <v>404</v>
      </c>
      <c r="F33" s="84" t="s">
        <v>117</v>
      </c>
      <c r="G33" s="251">
        <f t="shared" si="2"/>
        <v>565</v>
      </c>
      <c r="H33" s="254">
        <v>7.83</v>
      </c>
      <c r="I33" s="253">
        <v>0.19900000000000001</v>
      </c>
      <c r="J33" s="254"/>
      <c r="K33" s="253"/>
      <c r="L33" s="255" t="str">
        <f t="shared" si="3"/>
        <v>III A</v>
      </c>
      <c r="M33" s="61" t="s">
        <v>169</v>
      </c>
      <c r="N33" s="256"/>
      <c r="O33" s="193">
        <v>5</v>
      </c>
      <c r="P33" s="91">
        <v>3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</row>
    <row r="34" spans="1:245" s="92" customFormat="1" ht="16.350000000000001" customHeight="1">
      <c r="A34" s="194">
        <v>6</v>
      </c>
      <c r="B34" s="195">
        <v>36</v>
      </c>
      <c r="C34" s="53" t="s">
        <v>242</v>
      </c>
      <c r="D34" s="54" t="s">
        <v>243</v>
      </c>
      <c r="E34" s="55" t="s">
        <v>244</v>
      </c>
      <c r="F34" s="56" t="s">
        <v>26</v>
      </c>
      <c r="G34" s="251">
        <f t="shared" si="2"/>
        <v>783</v>
      </c>
      <c r="H34" s="254">
        <v>7.32</v>
      </c>
      <c r="I34" s="253">
        <v>0.14299999999999999</v>
      </c>
      <c r="J34" s="254"/>
      <c r="K34" s="253"/>
      <c r="L34" s="255" t="str">
        <f t="shared" si="3"/>
        <v>II A</v>
      </c>
      <c r="M34" s="61" t="s">
        <v>245</v>
      </c>
      <c r="N34" s="256" t="s">
        <v>28</v>
      </c>
      <c r="O34" s="193">
        <v>6</v>
      </c>
      <c r="P34" s="91">
        <v>3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</row>
    <row r="35" spans="1:245" s="12" customFormat="1" ht="4.5" customHeight="1">
      <c r="C35" s="13"/>
      <c r="E35" s="14"/>
      <c r="F35" s="15"/>
      <c r="G35" s="71"/>
      <c r="H35" s="72"/>
      <c r="I35" s="73"/>
      <c r="J35" s="72"/>
      <c r="K35" s="73"/>
      <c r="L35" s="74"/>
      <c r="M35" s="20"/>
      <c r="O35" s="191"/>
    </row>
    <row r="36" spans="1:245" s="12" customFormat="1" ht="10.5" customHeight="1">
      <c r="C36" s="23"/>
      <c r="D36" s="33">
        <v>4</v>
      </c>
      <c r="E36" s="34" t="s">
        <v>427</v>
      </c>
      <c r="F36" s="35"/>
      <c r="G36" s="71"/>
      <c r="H36" s="72"/>
      <c r="I36" s="73"/>
      <c r="J36" s="72"/>
      <c r="K36" s="73"/>
      <c r="L36" s="74"/>
      <c r="M36" s="20"/>
      <c r="O36" s="191"/>
    </row>
    <row r="37" spans="1:245" s="12" customFormat="1" ht="3.75" customHeight="1">
      <c r="E37" s="36"/>
      <c r="F37" s="37"/>
      <c r="G37" s="71"/>
      <c r="H37" s="77"/>
      <c r="I37" s="73"/>
      <c r="J37" s="77"/>
      <c r="K37" s="73"/>
      <c r="L37" s="74"/>
      <c r="M37" s="20"/>
      <c r="O37" s="191"/>
    </row>
    <row r="38" spans="1:245" ht="11.25" customHeight="1">
      <c r="A38" s="39" t="s">
        <v>5</v>
      </c>
      <c r="B38" s="39" t="s">
        <v>6</v>
      </c>
      <c r="C38" s="41" t="s">
        <v>7</v>
      </c>
      <c r="D38" s="42" t="s">
        <v>8</v>
      </c>
      <c r="E38" s="80" t="s">
        <v>9</v>
      </c>
      <c r="F38" s="44" t="s">
        <v>10</v>
      </c>
      <c r="G38" s="45" t="s">
        <v>11</v>
      </c>
      <c r="H38" s="81" t="s">
        <v>141</v>
      </c>
      <c r="I38" s="82" t="s">
        <v>13</v>
      </c>
      <c r="J38" s="81" t="s">
        <v>4</v>
      </c>
      <c r="K38" s="82" t="s">
        <v>13</v>
      </c>
      <c r="L38" s="48" t="s">
        <v>15</v>
      </c>
      <c r="M38" s="39" t="s">
        <v>16</v>
      </c>
      <c r="N38" s="23" t="s">
        <v>17</v>
      </c>
      <c r="O38" s="193" t="s">
        <v>5</v>
      </c>
    </row>
    <row r="39" spans="1:245" s="92" customFormat="1" ht="16.350000000000001" customHeight="1">
      <c r="A39" s="194">
        <v>1</v>
      </c>
      <c r="B39" s="195">
        <v>145</v>
      </c>
      <c r="C39" s="53" t="s">
        <v>385</v>
      </c>
      <c r="D39" s="54" t="s">
        <v>386</v>
      </c>
      <c r="E39" s="55" t="s">
        <v>387</v>
      </c>
      <c r="F39" s="56" t="s">
        <v>48</v>
      </c>
      <c r="G39" s="251">
        <f t="shared" ref="G39:G44" si="4">IF(ISBLANK(H39),"",TRUNC(68.6*(H39-10.7)^2))</f>
        <v>702</v>
      </c>
      <c r="H39" s="254">
        <v>7.5</v>
      </c>
      <c r="I39" s="253">
        <v>0.17100000000000001</v>
      </c>
      <c r="J39" s="254"/>
      <c r="K39" s="253"/>
      <c r="L39" s="255" t="str">
        <f t="shared" ref="L39:L44" si="5">IF(ISBLANK(H39),"",IF(H39&gt;8.1,"",IF(H39&lt;=6.7,"TSM",IF(H39&lt;=6.84,"SM",IF(H39&lt;=7,"KSM",IF(H39&lt;=7.3,"I A",IF(H39&lt;=7.65,"II A",IF(H39&lt;=8.1,"III A"))))))))</f>
        <v>II A</v>
      </c>
      <c r="M39" s="61" t="s">
        <v>263</v>
      </c>
      <c r="N39" s="256" t="s">
        <v>28</v>
      </c>
      <c r="O39" s="193">
        <v>1</v>
      </c>
      <c r="P39" s="91">
        <v>4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</row>
    <row r="40" spans="1:245" s="92" customFormat="1" ht="16.350000000000001" customHeight="1">
      <c r="A40" s="194">
        <v>2</v>
      </c>
      <c r="B40" s="195">
        <v>128</v>
      </c>
      <c r="C40" s="53" t="s">
        <v>298</v>
      </c>
      <c r="D40" s="54" t="s">
        <v>329</v>
      </c>
      <c r="E40" s="55" t="s">
        <v>330</v>
      </c>
      <c r="F40" s="56" t="s">
        <v>26</v>
      </c>
      <c r="G40" s="251">
        <f t="shared" si="4"/>
        <v>724</v>
      </c>
      <c r="H40" s="254">
        <v>7.45</v>
      </c>
      <c r="I40" s="253">
        <v>0.13700000000000001</v>
      </c>
      <c r="J40" s="254"/>
      <c r="K40" s="253"/>
      <c r="L40" s="255" t="str">
        <f t="shared" si="5"/>
        <v>II A</v>
      </c>
      <c r="M40" s="61" t="s">
        <v>331</v>
      </c>
      <c r="N40" s="256">
        <v>7.48</v>
      </c>
      <c r="O40" s="193">
        <v>2</v>
      </c>
      <c r="P40" s="91">
        <v>4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</row>
    <row r="41" spans="1:245" s="92" customFormat="1" ht="16.350000000000001" customHeight="1">
      <c r="A41" s="194">
        <v>3</v>
      </c>
      <c r="B41" s="195">
        <v>28</v>
      </c>
      <c r="C41" s="53" t="s">
        <v>424</v>
      </c>
      <c r="D41" s="54" t="s">
        <v>425</v>
      </c>
      <c r="E41" s="55" t="s">
        <v>426</v>
      </c>
      <c r="F41" s="56" t="s">
        <v>21</v>
      </c>
      <c r="G41" s="251"/>
      <c r="H41" s="254" t="s">
        <v>72</v>
      </c>
      <c r="I41" s="253"/>
      <c r="J41" s="254"/>
      <c r="K41" s="253"/>
      <c r="L41" s="255" t="str">
        <f t="shared" si="5"/>
        <v/>
      </c>
      <c r="M41" s="61" t="s">
        <v>135</v>
      </c>
      <c r="N41" s="256">
        <v>7.06</v>
      </c>
      <c r="O41" s="193">
        <v>3</v>
      </c>
      <c r="P41" s="91">
        <v>4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</row>
    <row r="42" spans="1:245" s="92" customFormat="1" ht="16.350000000000001" customHeight="1">
      <c r="A42" s="194">
        <v>4</v>
      </c>
      <c r="B42" s="195">
        <v>157</v>
      </c>
      <c r="C42" s="53" t="s">
        <v>227</v>
      </c>
      <c r="D42" s="54" t="s">
        <v>362</v>
      </c>
      <c r="E42" s="55" t="s">
        <v>363</v>
      </c>
      <c r="F42" s="56" t="s">
        <v>48</v>
      </c>
      <c r="G42" s="251">
        <f t="shared" si="4"/>
        <v>913</v>
      </c>
      <c r="H42" s="254">
        <v>7.05</v>
      </c>
      <c r="I42" s="253">
        <v>0.17</v>
      </c>
      <c r="J42" s="254"/>
      <c r="K42" s="253"/>
      <c r="L42" s="255" t="str">
        <f t="shared" si="5"/>
        <v>I A</v>
      </c>
      <c r="M42" s="61" t="s">
        <v>27</v>
      </c>
      <c r="N42" s="256">
        <v>7.08</v>
      </c>
      <c r="O42" s="193">
        <v>4</v>
      </c>
      <c r="P42" s="91">
        <v>4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</row>
    <row r="43" spans="1:245" s="92" customFormat="1" ht="16.350000000000001" customHeight="1">
      <c r="A43" s="194">
        <v>5</v>
      </c>
      <c r="B43" s="195">
        <v>49</v>
      </c>
      <c r="C43" s="53" t="s">
        <v>238</v>
      </c>
      <c r="D43" s="54" t="s">
        <v>392</v>
      </c>
      <c r="E43" s="55" t="s">
        <v>393</v>
      </c>
      <c r="F43" s="56" t="s">
        <v>59</v>
      </c>
      <c r="G43" s="251">
        <f t="shared" si="4"/>
        <v>650</v>
      </c>
      <c r="H43" s="254">
        <v>7.62</v>
      </c>
      <c r="I43" s="253">
        <v>0.13600000000000001</v>
      </c>
      <c r="J43" s="254"/>
      <c r="K43" s="253"/>
      <c r="L43" s="255" t="str">
        <f t="shared" si="5"/>
        <v>II A</v>
      </c>
      <c r="M43" s="61" t="s">
        <v>394</v>
      </c>
      <c r="N43" s="256">
        <v>7.55</v>
      </c>
      <c r="O43" s="193">
        <v>5</v>
      </c>
      <c r="P43" s="91">
        <v>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</row>
    <row r="44" spans="1:245" s="92" customFormat="1" ht="16.350000000000001" customHeight="1">
      <c r="A44" s="194">
        <v>6</v>
      </c>
      <c r="B44" s="195">
        <v>63</v>
      </c>
      <c r="C44" s="53" t="s">
        <v>388</v>
      </c>
      <c r="D44" s="54" t="s">
        <v>389</v>
      </c>
      <c r="E44" s="55" t="s">
        <v>390</v>
      </c>
      <c r="F44" s="56" t="s">
        <v>236</v>
      </c>
      <c r="G44" s="251">
        <f t="shared" si="4"/>
        <v>685</v>
      </c>
      <c r="H44" s="254">
        <v>7.54</v>
      </c>
      <c r="I44" s="253">
        <v>0.16600000000000001</v>
      </c>
      <c r="J44" s="254"/>
      <c r="K44" s="253"/>
      <c r="L44" s="255" t="str">
        <f t="shared" si="5"/>
        <v>II A</v>
      </c>
      <c r="M44" s="61" t="s">
        <v>391</v>
      </c>
      <c r="N44" s="256" t="s">
        <v>28</v>
      </c>
      <c r="O44" s="193">
        <v>6</v>
      </c>
      <c r="P44" s="91">
        <v>4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</row>
    <row r="45" spans="1:245" s="92" customFormat="1" ht="16.350000000000001" customHeight="1">
      <c r="A45" s="257"/>
      <c r="B45" s="257"/>
      <c r="C45" s="258"/>
      <c r="D45" s="259"/>
      <c r="E45" s="260"/>
      <c r="F45" s="261"/>
      <c r="G45" s="262"/>
      <c r="H45" s="263"/>
      <c r="I45" s="264"/>
      <c r="J45" s="263"/>
      <c r="K45" s="264"/>
      <c r="L45" s="265"/>
      <c r="M45" s="266"/>
      <c r="N45" s="256"/>
      <c r="O45" s="193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</row>
    <row r="47" spans="1:245" s="12" customFormat="1" ht="4.5" customHeight="1">
      <c r="C47" s="13"/>
      <c r="E47" s="14"/>
      <c r="F47" s="15"/>
      <c r="G47" s="71"/>
      <c r="H47" s="72"/>
      <c r="I47" s="73"/>
      <c r="J47" s="72"/>
      <c r="K47" s="73"/>
      <c r="L47" s="74"/>
      <c r="M47" s="20"/>
      <c r="O47" s="191"/>
      <c r="P47" s="91"/>
    </row>
    <row r="48" spans="1:245" s="12" customFormat="1" ht="10.5" customHeight="1">
      <c r="C48" s="23"/>
      <c r="D48" s="33">
        <v>5</v>
      </c>
      <c r="E48" s="34" t="s">
        <v>427</v>
      </c>
      <c r="F48" s="35"/>
      <c r="G48" s="71"/>
      <c r="H48" s="72"/>
      <c r="I48" s="73"/>
      <c r="J48" s="72"/>
      <c r="K48" s="73"/>
      <c r="L48" s="74"/>
      <c r="M48" s="20"/>
      <c r="O48" s="191"/>
    </row>
    <row r="49" spans="1:245" s="12" customFormat="1" ht="3.75" customHeight="1">
      <c r="E49" s="36"/>
      <c r="F49" s="37"/>
      <c r="G49" s="71"/>
      <c r="H49" s="77"/>
      <c r="I49" s="73"/>
      <c r="J49" s="77"/>
      <c r="K49" s="73"/>
      <c r="L49" s="74"/>
      <c r="M49" s="20"/>
      <c r="O49" s="191"/>
    </row>
    <row r="50" spans="1:245" ht="11.25" customHeight="1">
      <c r="A50" s="39" t="s">
        <v>5</v>
      </c>
      <c r="B50" s="39" t="s">
        <v>6</v>
      </c>
      <c r="C50" s="41" t="s">
        <v>7</v>
      </c>
      <c r="D50" s="42" t="s">
        <v>8</v>
      </c>
      <c r="E50" s="80" t="s">
        <v>9</v>
      </c>
      <c r="F50" s="44" t="s">
        <v>10</v>
      </c>
      <c r="G50" s="45" t="s">
        <v>11</v>
      </c>
      <c r="H50" s="81" t="s">
        <v>141</v>
      </c>
      <c r="I50" s="82" t="s">
        <v>13</v>
      </c>
      <c r="J50" s="81"/>
      <c r="K50" s="82"/>
      <c r="L50" s="48" t="s">
        <v>15</v>
      </c>
      <c r="M50" s="39" t="s">
        <v>16</v>
      </c>
      <c r="N50" s="192" t="s">
        <v>17</v>
      </c>
      <c r="O50" s="193" t="s">
        <v>5</v>
      </c>
    </row>
    <row r="51" spans="1:245" s="92" customFormat="1" ht="16.350000000000001" customHeight="1">
      <c r="A51" s="194">
        <v>1</v>
      </c>
      <c r="B51" s="195">
        <v>114</v>
      </c>
      <c r="C51" s="53" t="s">
        <v>66</v>
      </c>
      <c r="D51" s="54" t="s">
        <v>267</v>
      </c>
      <c r="E51" s="55" t="s">
        <v>268</v>
      </c>
      <c r="F51" s="56" t="s">
        <v>269</v>
      </c>
      <c r="G51" s="251" t="s">
        <v>73</v>
      </c>
      <c r="H51" s="254">
        <v>7.17</v>
      </c>
      <c r="I51" s="253">
        <v>0.17399999999999999</v>
      </c>
      <c r="J51" s="254"/>
      <c r="K51" s="253"/>
      <c r="L51" s="255" t="str">
        <f t="shared" ref="L51:L56" si="6">IF(ISBLANK(H51),"",IF(H51&gt;8.1,"",IF(H51&lt;=6.7,"TSM",IF(H51&lt;=6.84,"SM",IF(H51&lt;=7,"KSM",IF(H51&lt;=7.3,"I A",IF(H51&lt;=7.65,"II A",IF(H51&lt;=8.1,"III A"))))))))</f>
        <v>I A</v>
      </c>
      <c r="M51" s="61" t="s">
        <v>270</v>
      </c>
      <c r="N51" s="199" t="s">
        <v>28</v>
      </c>
      <c r="O51" s="193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</row>
    <row r="52" spans="1:245" s="92" customFormat="1" ht="16.350000000000001" customHeight="1">
      <c r="A52" s="194">
        <v>2</v>
      </c>
      <c r="B52" s="195">
        <v>174</v>
      </c>
      <c r="C52" s="53" t="s">
        <v>417</v>
      </c>
      <c r="D52" s="54" t="s">
        <v>418</v>
      </c>
      <c r="E52" s="55" t="s">
        <v>419</v>
      </c>
      <c r="F52" s="56" t="s">
        <v>80</v>
      </c>
      <c r="G52" s="251" t="s">
        <v>73</v>
      </c>
      <c r="H52" s="254">
        <v>7.61</v>
      </c>
      <c r="I52" s="253">
        <v>0.19500000000000001</v>
      </c>
      <c r="J52" s="254"/>
      <c r="K52" s="253"/>
      <c r="L52" s="255" t="str">
        <f t="shared" si="6"/>
        <v>II A</v>
      </c>
      <c r="M52" s="61" t="s">
        <v>27</v>
      </c>
      <c r="N52" s="199">
        <v>7.55</v>
      </c>
      <c r="O52" s="193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</row>
    <row r="53" spans="1:245" s="92" customFormat="1" ht="16.350000000000001" customHeight="1">
      <c r="A53" s="194">
        <v>3</v>
      </c>
      <c r="B53" s="195">
        <v>176</v>
      </c>
      <c r="C53" s="53" t="s">
        <v>227</v>
      </c>
      <c r="D53" s="54" t="s">
        <v>411</v>
      </c>
      <c r="E53" s="55" t="s">
        <v>412</v>
      </c>
      <c r="F53" s="56" t="s">
        <v>80</v>
      </c>
      <c r="G53" s="251" t="s">
        <v>73</v>
      </c>
      <c r="H53" s="254">
        <v>7.11</v>
      </c>
      <c r="I53" s="253">
        <v>0.14699999999999999</v>
      </c>
      <c r="J53" s="254"/>
      <c r="K53" s="253"/>
      <c r="L53" s="255" t="str">
        <f t="shared" si="6"/>
        <v>I A</v>
      </c>
      <c r="M53" s="61" t="s">
        <v>283</v>
      </c>
      <c r="N53" s="199">
        <v>7.09</v>
      </c>
      <c r="O53" s="193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</row>
    <row r="54" spans="1:245" s="92" customFormat="1" ht="16.350000000000001" customHeight="1">
      <c r="A54" s="194">
        <v>4</v>
      </c>
      <c r="B54" s="195">
        <v>4</v>
      </c>
      <c r="C54" s="53" t="s">
        <v>305</v>
      </c>
      <c r="D54" s="54" t="s">
        <v>389</v>
      </c>
      <c r="E54" s="55" t="s">
        <v>409</v>
      </c>
      <c r="F54" s="56" t="s">
        <v>21</v>
      </c>
      <c r="G54" s="251" t="s">
        <v>73</v>
      </c>
      <c r="H54" s="254">
        <v>7.06</v>
      </c>
      <c r="I54" s="253">
        <v>0.153</v>
      </c>
      <c r="J54" s="254"/>
      <c r="K54" s="253"/>
      <c r="L54" s="255" t="str">
        <f t="shared" si="6"/>
        <v>I A</v>
      </c>
      <c r="M54" s="61" t="s">
        <v>410</v>
      </c>
      <c r="N54" s="199">
        <v>7</v>
      </c>
      <c r="O54" s="193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</row>
    <row r="55" spans="1:245" s="92" customFormat="1" ht="16.350000000000001" customHeight="1">
      <c r="A55" s="194">
        <v>5</v>
      </c>
      <c r="B55" s="195">
        <v>21</v>
      </c>
      <c r="C55" s="53" t="s">
        <v>413</v>
      </c>
      <c r="D55" s="54" t="s">
        <v>414</v>
      </c>
      <c r="E55" s="55" t="s">
        <v>415</v>
      </c>
      <c r="F55" s="56" t="s">
        <v>145</v>
      </c>
      <c r="G55" s="251" t="s">
        <v>73</v>
      </c>
      <c r="H55" s="254">
        <v>7.38</v>
      </c>
      <c r="I55" s="253">
        <v>0.185</v>
      </c>
      <c r="J55" s="254"/>
      <c r="K55" s="253"/>
      <c r="L55" s="255" t="str">
        <f t="shared" si="6"/>
        <v>II A</v>
      </c>
      <c r="M55" s="61" t="s">
        <v>416</v>
      </c>
      <c r="N55" s="199">
        <v>7.43</v>
      </c>
      <c r="O55" s="193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</row>
    <row r="56" spans="1:245" s="92" customFormat="1" ht="16.350000000000001" customHeight="1">
      <c r="A56" s="194">
        <v>3</v>
      </c>
      <c r="B56" s="195">
        <v>151</v>
      </c>
      <c r="C56" s="53" t="s">
        <v>45</v>
      </c>
      <c r="D56" s="54" t="s">
        <v>46</v>
      </c>
      <c r="E56" s="55" t="s">
        <v>47</v>
      </c>
      <c r="F56" s="56" t="s">
        <v>48</v>
      </c>
      <c r="G56" s="251">
        <f>IF(ISBLANK(H56),"",TRUNC(68.6*(H56-10.7)^2))</f>
        <v>769</v>
      </c>
      <c r="H56" s="254">
        <v>7.35</v>
      </c>
      <c r="I56" s="253">
        <v>0.11600000000000001</v>
      </c>
      <c r="J56" s="254"/>
      <c r="K56" s="253"/>
      <c r="L56" s="255" t="str">
        <f t="shared" si="6"/>
        <v>II A</v>
      </c>
      <c r="M56" s="61" t="s">
        <v>49</v>
      </c>
      <c r="N56" s="199" t="s">
        <v>28</v>
      </c>
      <c r="O56" s="193">
        <v>3</v>
      </c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CCFF"/>
  </sheetPr>
  <dimension ref="A1:IL37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6" style="66" customWidth="1"/>
    <col min="9" max="9" width="4.7109375" style="67" customWidth="1"/>
    <col min="10" max="10" width="7" style="66" customWidth="1"/>
    <col min="11" max="11" width="4.7109375" style="67" customWidth="1"/>
    <col min="12" max="12" width="5.140625" style="28" customWidth="1"/>
    <col min="13" max="13" width="24.5703125" style="23" customWidth="1"/>
    <col min="14" max="14" width="4.42578125" style="23" hidden="1" customWidth="1"/>
    <col min="15" max="15" width="4.28515625" style="191" hidden="1" customWidth="1"/>
    <col min="16" max="16" width="4.28515625" style="23" hidden="1" customWidth="1"/>
    <col min="17" max="17" width="4.28515625" style="191" hidden="1" customWidth="1"/>
    <col min="18" max="243" width="9.140625" style="23"/>
    <col min="244" max="16384" width="9.140625" style="70"/>
  </cols>
  <sheetData>
    <row r="1" spans="1:246" s="2" customFormat="1" ht="18.75">
      <c r="A1" s="1" t="s">
        <v>0</v>
      </c>
      <c r="E1" s="3"/>
      <c r="F1" s="4"/>
      <c r="G1" s="5"/>
      <c r="H1" s="66"/>
      <c r="I1" s="67"/>
      <c r="J1" s="66"/>
      <c r="K1" s="67"/>
      <c r="L1" s="3"/>
      <c r="O1" s="191"/>
      <c r="Q1" s="191"/>
      <c r="IJ1" s="70"/>
    </row>
    <row r="2" spans="1:246" s="2" customFormat="1" ht="13.15" customHeight="1">
      <c r="E2" s="3"/>
      <c r="F2" s="4"/>
      <c r="G2" s="5"/>
      <c r="H2" s="66"/>
      <c r="I2" s="67"/>
      <c r="J2" s="66"/>
      <c r="K2" s="67"/>
      <c r="L2" s="3"/>
      <c r="M2" s="11" t="s">
        <v>1</v>
      </c>
      <c r="O2" s="191"/>
      <c r="Q2" s="191"/>
      <c r="IJ2" s="70"/>
    </row>
    <row r="3" spans="1:246" s="12" customFormat="1" ht="4.5" customHeight="1">
      <c r="C3" s="13"/>
      <c r="E3" s="14"/>
      <c r="F3" s="15"/>
      <c r="G3" s="71"/>
      <c r="H3" s="72"/>
      <c r="I3" s="73"/>
      <c r="J3" s="72"/>
      <c r="K3" s="73"/>
      <c r="L3" s="74"/>
      <c r="M3" s="20"/>
      <c r="O3" s="191"/>
      <c r="Q3" s="191"/>
    </row>
    <row r="4" spans="1:246" ht="15.75">
      <c r="C4" s="24" t="s">
        <v>353</v>
      </c>
      <c r="E4" s="25"/>
      <c r="F4" s="26"/>
      <c r="M4" s="29" t="s">
        <v>3</v>
      </c>
    </row>
    <row r="5" spans="1:246" s="12" customFormat="1" ht="4.5" customHeight="1">
      <c r="C5" s="13"/>
      <c r="E5" s="14"/>
      <c r="F5" s="15"/>
      <c r="G5" s="71"/>
      <c r="H5" s="72"/>
      <c r="I5" s="73"/>
      <c r="J5" s="72"/>
      <c r="K5" s="73"/>
      <c r="L5" s="74"/>
      <c r="M5" s="20"/>
      <c r="O5" s="191"/>
      <c r="Q5" s="191"/>
    </row>
    <row r="6" spans="1:246" s="12" customFormat="1" ht="10.5" customHeight="1">
      <c r="C6" s="23"/>
      <c r="D6" s="33"/>
      <c r="E6" s="34" t="s">
        <v>205</v>
      </c>
      <c r="F6" s="35"/>
      <c r="G6" s="71"/>
      <c r="H6" s="72"/>
      <c r="I6" s="73"/>
      <c r="J6" s="72"/>
      <c r="K6" s="73"/>
      <c r="L6" s="74"/>
      <c r="M6" s="20"/>
      <c r="O6" s="191"/>
      <c r="Q6" s="191"/>
    </row>
    <row r="7" spans="1:246" s="12" customFormat="1" ht="3.75" customHeight="1">
      <c r="E7" s="36"/>
      <c r="F7" s="37"/>
      <c r="G7" s="71"/>
      <c r="H7" s="77"/>
      <c r="I7" s="73"/>
      <c r="J7" s="77"/>
      <c r="K7" s="73"/>
      <c r="L7" s="74"/>
      <c r="M7" s="20"/>
      <c r="O7" s="191"/>
      <c r="Q7" s="191"/>
    </row>
    <row r="8" spans="1:246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141</v>
      </c>
      <c r="I8" s="82" t="s">
        <v>13</v>
      </c>
      <c r="J8" s="81" t="s">
        <v>4</v>
      </c>
      <c r="K8" s="82" t="s">
        <v>13</v>
      </c>
      <c r="L8" s="48" t="s">
        <v>15</v>
      </c>
      <c r="M8" s="39" t="s">
        <v>16</v>
      </c>
      <c r="N8" s="23" t="s">
        <v>17</v>
      </c>
      <c r="O8" s="193" t="s">
        <v>5</v>
      </c>
      <c r="P8" s="23" t="s">
        <v>354</v>
      </c>
      <c r="Q8" s="193" t="s">
        <v>355</v>
      </c>
    </row>
    <row r="9" spans="1:246" s="92" customFormat="1" ht="16.350000000000001" customHeight="1">
      <c r="A9" s="194">
        <v>1</v>
      </c>
      <c r="B9" s="195">
        <v>23</v>
      </c>
      <c r="C9" s="53" t="s">
        <v>254</v>
      </c>
      <c r="D9" s="54" t="s">
        <v>356</v>
      </c>
      <c r="E9" s="55" t="s">
        <v>357</v>
      </c>
      <c r="F9" s="56" t="s">
        <v>358</v>
      </c>
      <c r="G9" s="251">
        <f>IF(ISBLANK(J9),"",TRUNC(68.6*(J9-10.7)^2))</f>
        <v>1006</v>
      </c>
      <c r="H9" s="252">
        <v>6.91</v>
      </c>
      <c r="I9" s="253">
        <v>0.13</v>
      </c>
      <c r="J9" s="254">
        <v>6.87</v>
      </c>
      <c r="K9" s="253">
        <v>0.124</v>
      </c>
      <c r="L9" s="255" t="str">
        <f>IF(ISBLANK(J9),"",IF(J9&gt;8.1,"",IF(J9&lt;=6.7,"TSM",IF(J9&lt;=6.84,"SM",IF(J9&lt;=7,"KSM",IF(J9&lt;=7.3,"I A",IF(J9&lt;=7.65,"II A",IF(J9&lt;=8.1,"III A"))))))))</f>
        <v>KSM</v>
      </c>
      <c r="M9" s="61" t="s">
        <v>359</v>
      </c>
      <c r="N9" s="256">
        <v>6.85</v>
      </c>
      <c r="O9" s="193">
        <v>3</v>
      </c>
      <c r="P9" s="91">
        <v>1</v>
      </c>
      <c r="Q9" s="193">
        <v>4</v>
      </c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</row>
    <row r="10" spans="1:246" s="92" customFormat="1" ht="16.350000000000001" customHeight="1">
      <c r="A10" s="194">
        <v>2</v>
      </c>
      <c r="B10" s="195">
        <v>132</v>
      </c>
      <c r="C10" s="53" t="s">
        <v>227</v>
      </c>
      <c r="D10" s="54" t="s">
        <v>360</v>
      </c>
      <c r="E10" s="55" t="s">
        <v>361</v>
      </c>
      <c r="F10" s="56" t="s">
        <v>26</v>
      </c>
      <c r="G10" s="251">
        <f>IF(ISBLANK(J10),"",TRUNC(68.6*(J10-10.7)^2))</f>
        <v>969</v>
      </c>
      <c r="H10" s="252">
        <v>7</v>
      </c>
      <c r="I10" s="253">
        <v>0.14799999999999999</v>
      </c>
      <c r="J10" s="254">
        <v>6.94</v>
      </c>
      <c r="K10" s="253">
        <v>0.13800000000000001</v>
      </c>
      <c r="L10" s="255" t="str">
        <f>IF(ISBLANK(J10),"",IF(J10&gt;8.1,"",IF(J10&lt;=6.7,"TSM",IF(J10&lt;=6.84,"SM",IF(J10&lt;=7,"KSM",IF(J10&lt;=7.3,"I A",IF(J10&lt;=7.65,"II A",IF(J10&lt;=8.1,"III A"))))))))</f>
        <v>KSM</v>
      </c>
      <c r="M10" s="61" t="s">
        <v>191</v>
      </c>
      <c r="N10" s="256">
        <v>6.93</v>
      </c>
      <c r="O10" s="193">
        <v>3</v>
      </c>
      <c r="P10" s="91">
        <v>2</v>
      </c>
      <c r="Q10" s="193">
        <v>5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</row>
    <row r="11" spans="1:246" s="92" customFormat="1" ht="16.350000000000001" customHeight="1">
      <c r="A11" s="194">
        <v>3</v>
      </c>
      <c r="B11" s="195">
        <v>157</v>
      </c>
      <c r="C11" s="53" t="s">
        <v>227</v>
      </c>
      <c r="D11" s="54" t="s">
        <v>362</v>
      </c>
      <c r="E11" s="55" t="s">
        <v>363</v>
      </c>
      <c r="F11" s="56" t="s">
        <v>48</v>
      </c>
      <c r="G11" s="251">
        <f>IF(ISBLANK(J11),"",TRUNC(68.6*(J11-10.7)^2))</f>
        <v>954</v>
      </c>
      <c r="H11" s="252">
        <v>7.05</v>
      </c>
      <c r="I11" s="253">
        <v>0.17</v>
      </c>
      <c r="J11" s="254">
        <v>6.97</v>
      </c>
      <c r="K11" s="253">
        <v>0.16800000000000001</v>
      </c>
      <c r="L11" s="255" t="str">
        <f>IF(ISBLANK(J11),"",IF(J11&gt;8.1,"",IF(J11&lt;=6.7,"TSM",IF(J11&lt;=6.84,"SM",IF(J11&lt;=7,"KSM",IF(J11&lt;=7.3,"I A",IF(J11&lt;=7.65,"II A",IF(J11&lt;=8.1,"III A"))))))))</f>
        <v>KSM</v>
      </c>
      <c r="M11" s="61" t="s">
        <v>27</v>
      </c>
      <c r="N11" s="256">
        <v>7.08</v>
      </c>
      <c r="O11" s="193">
        <v>4</v>
      </c>
      <c r="P11" s="91">
        <v>4</v>
      </c>
      <c r="Q11" s="193">
        <v>2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</row>
    <row r="12" spans="1:246" s="92" customFormat="1" ht="16.350000000000001" customHeight="1">
      <c r="A12" s="194">
        <v>4</v>
      </c>
      <c r="B12" s="195">
        <v>55</v>
      </c>
      <c r="C12" s="53" t="s">
        <v>364</v>
      </c>
      <c r="D12" s="54" t="s">
        <v>365</v>
      </c>
      <c r="E12" s="55" t="s">
        <v>366</v>
      </c>
      <c r="F12" s="56" t="s">
        <v>59</v>
      </c>
      <c r="G12" s="251">
        <f>IF(ISBLANK(J12),"",TRUNC(68.6*(J12-10.7)^2))</f>
        <v>949</v>
      </c>
      <c r="H12" s="252">
        <v>7.1</v>
      </c>
      <c r="I12" s="253">
        <v>0.13500000000000001</v>
      </c>
      <c r="J12" s="254">
        <v>6.98</v>
      </c>
      <c r="K12" s="253">
        <v>0.105</v>
      </c>
      <c r="L12" s="255" t="str">
        <f>IF(ISBLANK(J12),"",IF(J12&gt;8.1,"",IF(J12&lt;=6.7,"TSM",IF(J12&lt;=6.84,"SM",IF(J12&lt;=7,"KSM",IF(J12&lt;=7.3,"I A",IF(J12&lt;=7.65,"II A",IF(J12&lt;=8.1,"III A"))))))))</f>
        <v>KSM</v>
      </c>
      <c r="M12" s="61" t="s">
        <v>367</v>
      </c>
      <c r="N12" s="256">
        <v>6.99</v>
      </c>
      <c r="O12" s="193">
        <v>3</v>
      </c>
      <c r="P12" s="91">
        <v>3</v>
      </c>
      <c r="Q12" s="193">
        <v>3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</row>
    <row r="13" spans="1:246" s="92" customFormat="1" ht="16.350000000000001" customHeight="1">
      <c r="A13" s="194">
        <v>5</v>
      </c>
      <c r="B13" s="195">
        <v>134</v>
      </c>
      <c r="C13" s="53" t="s">
        <v>368</v>
      </c>
      <c r="D13" s="54" t="s">
        <v>369</v>
      </c>
      <c r="E13" s="55" t="s">
        <v>370</v>
      </c>
      <c r="F13" s="56" t="s">
        <v>26</v>
      </c>
      <c r="G13" s="251">
        <f>IF(ISBLANK(J13),"",TRUNC(68.6*(J13-10.7)^2))</f>
        <v>869</v>
      </c>
      <c r="H13" s="252">
        <v>7.15</v>
      </c>
      <c r="I13" s="253">
        <v>0.16500000000000001</v>
      </c>
      <c r="J13" s="254">
        <v>7.14</v>
      </c>
      <c r="K13" s="253">
        <v>0.47799999999999998</v>
      </c>
      <c r="L13" s="255" t="str">
        <f>IF(ISBLANK(J13),"",IF(J13&gt;8.1,"",IF(J13&lt;=6.7,"TSM",IF(J13&lt;=6.84,"SM",IF(J13&lt;=7,"KSM",IF(J13&lt;=7.3,"I A",IF(J13&lt;=7.65,"II A",IF(J13&lt;=8.1,"III A"))))))))</f>
        <v>I A</v>
      </c>
      <c r="M13" s="61" t="s">
        <v>169</v>
      </c>
      <c r="N13" s="256">
        <v>7.1</v>
      </c>
      <c r="O13" s="193">
        <v>4</v>
      </c>
      <c r="P13" s="91">
        <v>3</v>
      </c>
      <c r="Q13" s="193">
        <v>1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</row>
    <row r="14" spans="1:246" s="92" customFormat="1" ht="16.350000000000001" customHeight="1">
      <c r="A14" s="194">
        <v>6</v>
      </c>
      <c r="B14" s="195">
        <v>53</v>
      </c>
      <c r="C14" s="53" t="s">
        <v>238</v>
      </c>
      <c r="D14" s="54" t="s">
        <v>371</v>
      </c>
      <c r="E14" s="55" t="s">
        <v>372</v>
      </c>
      <c r="F14" s="56" t="s">
        <v>59</v>
      </c>
      <c r="G14" s="251">
        <f t="shared" ref="G14:G29" si="0">IF(ISBLANK(H14),"",TRUNC(68.6*(H14-10.7)^2))</f>
        <v>874</v>
      </c>
      <c r="H14" s="254">
        <v>7.13</v>
      </c>
      <c r="I14" s="253">
        <v>0.13800000000000001</v>
      </c>
      <c r="J14" s="252">
        <v>7.18</v>
      </c>
      <c r="K14" s="253">
        <v>0.161</v>
      </c>
      <c r="L14" s="255" t="str">
        <f t="shared" ref="L14:L37" si="1">IF(ISBLANK(H14),"",IF(H14&gt;8.1,"",IF(H14&lt;=6.7,"TSM",IF(H14&lt;=6.84,"SM",IF(H14&lt;=7,"KSM",IF(H14&lt;=7.3,"I A",IF(H14&lt;=7.65,"II A",IF(H14&lt;=8.1,"III A"))))))))</f>
        <v>I A</v>
      </c>
      <c r="M14" s="61" t="s">
        <v>367</v>
      </c>
      <c r="N14" s="256">
        <v>7.2</v>
      </c>
      <c r="O14" s="193">
        <v>4</v>
      </c>
      <c r="P14" s="91">
        <v>2</v>
      </c>
      <c r="Q14" s="193">
        <v>6</v>
      </c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</row>
    <row r="15" spans="1:246" s="92" customFormat="1" ht="16.350000000000001" customHeight="1">
      <c r="A15" s="194">
        <v>7</v>
      </c>
      <c r="B15" s="195">
        <v>181</v>
      </c>
      <c r="C15" s="53" t="s">
        <v>373</v>
      </c>
      <c r="D15" s="54" t="s">
        <v>374</v>
      </c>
      <c r="E15" s="55" t="s">
        <v>375</v>
      </c>
      <c r="F15" s="56" t="s">
        <v>26</v>
      </c>
      <c r="G15" s="251">
        <f t="shared" si="0"/>
        <v>835</v>
      </c>
      <c r="H15" s="254">
        <v>7.21</v>
      </c>
      <c r="I15" s="253">
        <v>0.112</v>
      </c>
      <c r="J15" s="254"/>
      <c r="K15" s="253"/>
      <c r="L15" s="255" t="str">
        <f t="shared" si="1"/>
        <v>I A</v>
      </c>
      <c r="M15" s="61" t="s">
        <v>27</v>
      </c>
      <c r="N15" s="256">
        <v>7.23</v>
      </c>
      <c r="O15" s="193">
        <v>4</v>
      </c>
      <c r="P15" s="91">
        <v>1</v>
      </c>
      <c r="Q15" s="193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</row>
    <row r="16" spans="1:246" s="92" customFormat="1" ht="16.350000000000001" customHeight="1">
      <c r="A16" s="194">
        <v>8</v>
      </c>
      <c r="B16" s="195">
        <v>36</v>
      </c>
      <c r="C16" s="53" t="s">
        <v>242</v>
      </c>
      <c r="D16" s="54" t="s">
        <v>243</v>
      </c>
      <c r="E16" s="55" t="s">
        <v>244</v>
      </c>
      <c r="F16" s="56" t="s">
        <v>26</v>
      </c>
      <c r="G16" s="251">
        <f t="shared" si="0"/>
        <v>783</v>
      </c>
      <c r="H16" s="254">
        <v>7.32</v>
      </c>
      <c r="I16" s="253">
        <v>0.14299999999999999</v>
      </c>
      <c r="J16" s="254"/>
      <c r="K16" s="253"/>
      <c r="L16" s="255" t="str">
        <f t="shared" si="1"/>
        <v>II A</v>
      </c>
      <c r="M16" s="61" t="s">
        <v>245</v>
      </c>
      <c r="N16" s="256" t="s">
        <v>28</v>
      </c>
      <c r="O16" s="193">
        <v>6</v>
      </c>
      <c r="P16" s="91">
        <v>3</v>
      </c>
      <c r="Q16" s="193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</row>
    <row r="17" spans="1:246" s="92" customFormat="1" ht="16.350000000000001" customHeight="1">
      <c r="A17" s="194">
        <v>9</v>
      </c>
      <c r="B17" s="195">
        <v>151</v>
      </c>
      <c r="C17" s="53" t="s">
        <v>45</v>
      </c>
      <c r="D17" s="54" t="s">
        <v>46</v>
      </c>
      <c r="E17" s="55" t="s">
        <v>47</v>
      </c>
      <c r="F17" s="56" t="s">
        <v>48</v>
      </c>
      <c r="G17" s="251">
        <f t="shared" si="0"/>
        <v>769</v>
      </c>
      <c r="H17" s="254">
        <v>7.35</v>
      </c>
      <c r="I17" s="253">
        <v>0.11600000000000001</v>
      </c>
      <c r="J17" s="254"/>
      <c r="K17" s="253"/>
      <c r="L17" s="255" t="str">
        <f t="shared" si="1"/>
        <v>II A</v>
      </c>
      <c r="M17" s="61" t="s">
        <v>49</v>
      </c>
      <c r="N17" s="199" t="s">
        <v>28</v>
      </c>
      <c r="O17" s="193">
        <v>3</v>
      </c>
      <c r="P17" s="91"/>
      <c r="Q17" s="193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</row>
    <row r="18" spans="1:246" s="92" customFormat="1" ht="16.350000000000001" customHeight="1">
      <c r="A18" s="194">
        <v>10</v>
      </c>
      <c r="B18" s="195">
        <v>111</v>
      </c>
      <c r="C18" s="53" t="s">
        <v>376</v>
      </c>
      <c r="D18" s="54" t="s">
        <v>377</v>
      </c>
      <c r="E18" s="55" t="s">
        <v>378</v>
      </c>
      <c r="F18" s="56" t="s">
        <v>112</v>
      </c>
      <c r="G18" s="251">
        <f t="shared" si="0"/>
        <v>756</v>
      </c>
      <c r="H18" s="254">
        <v>7.38</v>
      </c>
      <c r="I18" s="253">
        <v>0.16400000000000001</v>
      </c>
      <c r="J18" s="254"/>
      <c r="K18" s="253"/>
      <c r="L18" s="255" t="str">
        <f t="shared" si="1"/>
        <v>II A</v>
      </c>
      <c r="M18" s="61" t="s">
        <v>379</v>
      </c>
      <c r="N18" s="256">
        <v>7.37</v>
      </c>
      <c r="O18" s="193">
        <v>2</v>
      </c>
      <c r="P18" s="91">
        <v>2</v>
      </c>
      <c r="Q18" s="193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</row>
    <row r="19" spans="1:246" s="92" customFormat="1" ht="16.350000000000001" customHeight="1">
      <c r="A19" s="194">
        <v>11</v>
      </c>
      <c r="B19" s="195">
        <v>30</v>
      </c>
      <c r="C19" s="53" t="s">
        <v>380</v>
      </c>
      <c r="D19" s="54" t="s">
        <v>381</v>
      </c>
      <c r="E19" s="55" t="s">
        <v>382</v>
      </c>
      <c r="F19" s="56" t="s">
        <v>26</v>
      </c>
      <c r="G19" s="251">
        <f t="shared" si="0"/>
        <v>738</v>
      </c>
      <c r="H19" s="254">
        <v>7.42</v>
      </c>
      <c r="I19" s="253">
        <v>0.13900000000000001</v>
      </c>
      <c r="J19" s="254"/>
      <c r="K19" s="253"/>
      <c r="L19" s="255" t="str">
        <f t="shared" si="1"/>
        <v>II A</v>
      </c>
      <c r="M19" s="61" t="s">
        <v>27</v>
      </c>
      <c r="N19" s="256">
        <v>7.31</v>
      </c>
      <c r="O19" s="193">
        <v>2</v>
      </c>
      <c r="P19" s="91">
        <v>1</v>
      </c>
      <c r="Q19" s="193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</row>
    <row r="20" spans="1:246" s="92" customFormat="1" ht="16.350000000000001" customHeight="1">
      <c r="A20" s="194">
        <v>11</v>
      </c>
      <c r="B20" s="195">
        <v>138</v>
      </c>
      <c r="C20" s="53" t="s">
        <v>383</v>
      </c>
      <c r="D20" s="54" t="s">
        <v>384</v>
      </c>
      <c r="E20" s="55" t="s">
        <v>58</v>
      </c>
      <c r="F20" s="56" t="s">
        <v>172</v>
      </c>
      <c r="G20" s="251">
        <f t="shared" si="0"/>
        <v>738</v>
      </c>
      <c r="H20" s="254">
        <v>7.42</v>
      </c>
      <c r="I20" s="253">
        <v>0.17130000000000001</v>
      </c>
      <c r="J20" s="254"/>
      <c r="K20" s="253"/>
      <c r="L20" s="255" t="str">
        <f t="shared" si="1"/>
        <v>II A</v>
      </c>
      <c r="M20" s="61" t="s">
        <v>174</v>
      </c>
      <c r="N20" s="256">
        <v>7.39</v>
      </c>
      <c r="O20" s="193">
        <v>2</v>
      </c>
      <c r="P20" s="91">
        <v>3</v>
      </c>
      <c r="Q20" s="193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</row>
    <row r="21" spans="1:246" s="92" customFormat="1" ht="16.350000000000001" customHeight="1">
      <c r="A21" s="194">
        <v>13</v>
      </c>
      <c r="B21" s="195">
        <v>128</v>
      </c>
      <c r="C21" s="53" t="s">
        <v>298</v>
      </c>
      <c r="D21" s="54" t="s">
        <v>329</v>
      </c>
      <c r="E21" s="55" t="s">
        <v>330</v>
      </c>
      <c r="F21" s="56" t="s">
        <v>26</v>
      </c>
      <c r="G21" s="251">
        <f t="shared" si="0"/>
        <v>724</v>
      </c>
      <c r="H21" s="254">
        <v>7.45</v>
      </c>
      <c r="I21" s="253">
        <v>0.13700000000000001</v>
      </c>
      <c r="J21" s="254"/>
      <c r="K21" s="253"/>
      <c r="L21" s="255" t="str">
        <f t="shared" si="1"/>
        <v>II A</v>
      </c>
      <c r="M21" s="61" t="s">
        <v>331</v>
      </c>
      <c r="N21" s="256">
        <v>7.48</v>
      </c>
      <c r="O21" s="193">
        <v>2</v>
      </c>
      <c r="P21" s="91">
        <v>4</v>
      </c>
      <c r="Q21" s="193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</row>
    <row r="22" spans="1:246" s="92" customFormat="1" ht="16.350000000000001" customHeight="1">
      <c r="A22" s="194">
        <v>14</v>
      </c>
      <c r="B22" s="195">
        <v>145</v>
      </c>
      <c r="C22" s="53" t="s">
        <v>385</v>
      </c>
      <c r="D22" s="54" t="s">
        <v>386</v>
      </c>
      <c r="E22" s="55" t="s">
        <v>387</v>
      </c>
      <c r="F22" s="56" t="s">
        <v>48</v>
      </c>
      <c r="G22" s="251">
        <f t="shared" si="0"/>
        <v>702</v>
      </c>
      <c r="H22" s="254">
        <v>7.5</v>
      </c>
      <c r="I22" s="253">
        <v>0.17100000000000001</v>
      </c>
      <c r="J22" s="254"/>
      <c r="K22" s="253"/>
      <c r="L22" s="255" t="str">
        <f t="shared" si="1"/>
        <v>II A</v>
      </c>
      <c r="M22" s="61" t="s">
        <v>263</v>
      </c>
      <c r="N22" s="256" t="s">
        <v>28</v>
      </c>
      <c r="O22" s="193">
        <v>1</v>
      </c>
      <c r="P22" s="91">
        <v>4</v>
      </c>
      <c r="Q22" s="193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</row>
    <row r="23" spans="1:246" s="92" customFormat="1" ht="16.350000000000001" customHeight="1">
      <c r="A23" s="194">
        <v>15</v>
      </c>
      <c r="B23" s="195">
        <v>63</v>
      </c>
      <c r="C23" s="53" t="s">
        <v>388</v>
      </c>
      <c r="D23" s="54" t="s">
        <v>389</v>
      </c>
      <c r="E23" s="55" t="s">
        <v>390</v>
      </c>
      <c r="F23" s="56" t="s">
        <v>236</v>
      </c>
      <c r="G23" s="251">
        <f t="shared" si="0"/>
        <v>685</v>
      </c>
      <c r="H23" s="254">
        <v>7.54</v>
      </c>
      <c r="I23" s="253">
        <v>0.16600000000000001</v>
      </c>
      <c r="J23" s="254"/>
      <c r="K23" s="253"/>
      <c r="L23" s="255" t="str">
        <f t="shared" si="1"/>
        <v>II A</v>
      </c>
      <c r="M23" s="61" t="s">
        <v>391</v>
      </c>
      <c r="N23" s="256" t="s">
        <v>28</v>
      </c>
      <c r="O23" s="193">
        <v>6</v>
      </c>
      <c r="P23" s="91">
        <v>4</v>
      </c>
      <c r="Q23" s="193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</row>
    <row r="24" spans="1:246" s="92" customFormat="1" ht="16.350000000000001" customHeight="1">
      <c r="A24" s="194">
        <v>16</v>
      </c>
      <c r="B24" s="52">
        <v>49</v>
      </c>
      <c r="C24" s="53" t="s">
        <v>238</v>
      </c>
      <c r="D24" s="54" t="s">
        <v>392</v>
      </c>
      <c r="E24" s="55" t="s">
        <v>393</v>
      </c>
      <c r="F24" s="84" t="s">
        <v>59</v>
      </c>
      <c r="G24" s="251">
        <f t="shared" si="0"/>
        <v>650</v>
      </c>
      <c r="H24" s="254">
        <v>7.62</v>
      </c>
      <c r="I24" s="253">
        <v>0.13600000000000001</v>
      </c>
      <c r="J24" s="254"/>
      <c r="K24" s="253"/>
      <c r="L24" s="255" t="str">
        <f t="shared" si="1"/>
        <v>II A</v>
      </c>
      <c r="M24" s="61" t="s">
        <v>394</v>
      </c>
      <c r="N24" s="256">
        <v>7.55</v>
      </c>
      <c r="O24" s="193">
        <v>5</v>
      </c>
      <c r="P24" s="91">
        <v>4</v>
      </c>
      <c r="Q24" s="193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</row>
    <row r="25" spans="1:246" s="92" customFormat="1" ht="16.350000000000001" customHeight="1">
      <c r="A25" s="194">
        <v>17</v>
      </c>
      <c r="B25" s="195">
        <v>150</v>
      </c>
      <c r="C25" s="53" t="s">
        <v>395</v>
      </c>
      <c r="D25" s="54" t="s">
        <v>396</v>
      </c>
      <c r="E25" s="55" t="s">
        <v>397</v>
      </c>
      <c r="F25" s="56" t="s">
        <v>48</v>
      </c>
      <c r="G25" s="251">
        <f t="shared" si="0"/>
        <v>646</v>
      </c>
      <c r="H25" s="254">
        <v>7.63</v>
      </c>
      <c r="I25" s="253">
        <v>0.158</v>
      </c>
      <c r="J25" s="254"/>
      <c r="K25" s="253"/>
      <c r="L25" s="255" t="str">
        <f t="shared" si="1"/>
        <v>II A</v>
      </c>
      <c r="M25" s="61" t="s">
        <v>398</v>
      </c>
      <c r="N25" s="256" t="s">
        <v>28</v>
      </c>
      <c r="O25" s="193">
        <v>6</v>
      </c>
      <c r="P25" s="91">
        <v>2</v>
      </c>
      <c r="Q25" s="193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</row>
    <row r="26" spans="1:246" s="92" customFormat="1" ht="16.350000000000001" customHeight="1">
      <c r="A26" s="194">
        <v>18</v>
      </c>
      <c r="B26" s="195">
        <v>167</v>
      </c>
      <c r="C26" s="53" t="s">
        <v>254</v>
      </c>
      <c r="D26" s="54" t="s">
        <v>255</v>
      </c>
      <c r="E26" s="55" t="s">
        <v>256</v>
      </c>
      <c r="F26" s="56" t="s">
        <v>41</v>
      </c>
      <c r="G26" s="251">
        <f t="shared" si="0"/>
        <v>629</v>
      </c>
      <c r="H26" s="254">
        <v>7.67</v>
      </c>
      <c r="I26" s="253">
        <v>0.14299999999999999</v>
      </c>
      <c r="J26" s="254"/>
      <c r="K26" s="253"/>
      <c r="L26" s="255" t="str">
        <f t="shared" si="1"/>
        <v>III A</v>
      </c>
      <c r="M26" s="61" t="s">
        <v>257</v>
      </c>
      <c r="N26" s="256">
        <v>7.83</v>
      </c>
      <c r="O26" s="193">
        <v>5</v>
      </c>
      <c r="P26" s="91">
        <v>1</v>
      </c>
      <c r="Q26" s="193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</row>
    <row r="27" spans="1:246" s="92" customFormat="1" ht="16.350000000000001" customHeight="1">
      <c r="A27" s="194">
        <v>19</v>
      </c>
      <c r="B27" s="195">
        <v>149</v>
      </c>
      <c r="C27" s="53" t="s">
        <v>399</v>
      </c>
      <c r="D27" s="54" t="s">
        <v>400</v>
      </c>
      <c r="E27" s="55" t="s">
        <v>401</v>
      </c>
      <c r="F27" s="56" t="s">
        <v>48</v>
      </c>
      <c r="G27" s="251">
        <f t="shared" si="0"/>
        <v>617</v>
      </c>
      <c r="H27" s="254">
        <v>7.7</v>
      </c>
      <c r="I27" s="253">
        <v>0.187</v>
      </c>
      <c r="J27" s="254"/>
      <c r="K27" s="253"/>
      <c r="L27" s="255" t="str">
        <f t="shared" si="1"/>
        <v>III A</v>
      </c>
      <c r="M27" s="61" t="s">
        <v>263</v>
      </c>
      <c r="N27" s="256">
        <v>7.63</v>
      </c>
      <c r="O27" s="193">
        <v>1</v>
      </c>
      <c r="P27" s="91">
        <v>2</v>
      </c>
      <c r="Q27" s="193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</row>
    <row r="28" spans="1:246" s="92" customFormat="1" ht="16.350000000000001" customHeight="1">
      <c r="A28" s="194">
        <v>20</v>
      </c>
      <c r="B28" s="195">
        <v>72</v>
      </c>
      <c r="C28" s="53" t="s">
        <v>402</v>
      </c>
      <c r="D28" s="54" t="s">
        <v>403</v>
      </c>
      <c r="E28" s="55" t="s">
        <v>404</v>
      </c>
      <c r="F28" s="56" t="s">
        <v>117</v>
      </c>
      <c r="G28" s="251">
        <f t="shared" si="0"/>
        <v>565</v>
      </c>
      <c r="H28" s="254">
        <v>7.83</v>
      </c>
      <c r="I28" s="253">
        <v>0.19900000000000001</v>
      </c>
      <c r="J28" s="254"/>
      <c r="K28" s="253"/>
      <c r="L28" s="255" t="str">
        <f t="shared" si="1"/>
        <v>III A</v>
      </c>
      <c r="M28" s="61" t="s">
        <v>169</v>
      </c>
      <c r="N28" s="256"/>
      <c r="O28" s="193">
        <v>5</v>
      </c>
      <c r="P28" s="91">
        <v>3</v>
      </c>
      <c r="Q28" s="193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</row>
    <row r="29" spans="1:246" s="92" customFormat="1" ht="16.350000000000001" customHeight="1">
      <c r="A29" s="194">
        <v>21</v>
      </c>
      <c r="B29" s="195">
        <v>61</v>
      </c>
      <c r="C29" s="53" t="s">
        <v>405</v>
      </c>
      <c r="D29" s="54" t="s">
        <v>406</v>
      </c>
      <c r="E29" s="55" t="s">
        <v>407</v>
      </c>
      <c r="F29" s="56" t="s">
        <v>236</v>
      </c>
      <c r="G29" s="251">
        <f t="shared" si="0"/>
        <v>537</v>
      </c>
      <c r="H29" s="254">
        <v>7.9</v>
      </c>
      <c r="I29" s="253">
        <v>0.189</v>
      </c>
      <c r="J29" s="254"/>
      <c r="K29" s="253"/>
      <c r="L29" s="255" t="str">
        <f t="shared" si="1"/>
        <v>III A</v>
      </c>
      <c r="M29" s="61" t="s">
        <v>408</v>
      </c>
      <c r="N29" s="256" t="s">
        <v>28</v>
      </c>
      <c r="O29" s="193">
        <v>1</v>
      </c>
      <c r="P29" s="91">
        <v>3</v>
      </c>
      <c r="Q29" s="193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</row>
    <row r="30" spans="1:246" s="92" customFormat="1" ht="16.350000000000001" customHeight="1">
      <c r="A30" s="194" t="s">
        <v>73</v>
      </c>
      <c r="B30" s="195">
        <v>4</v>
      </c>
      <c r="C30" s="53" t="s">
        <v>305</v>
      </c>
      <c r="D30" s="54" t="s">
        <v>389</v>
      </c>
      <c r="E30" s="55" t="s">
        <v>409</v>
      </c>
      <c r="F30" s="56" t="s">
        <v>21</v>
      </c>
      <c r="G30" s="251" t="s">
        <v>73</v>
      </c>
      <c r="H30" s="254">
        <v>7.06</v>
      </c>
      <c r="I30" s="253">
        <v>0.153</v>
      </c>
      <c r="J30" s="254"/>
      <c r="K30" s="253"/>
      <c r="L30" s="255" t="str">
        <f t="shared" si="1"/>
        <v>I A</v>
      </c>
      <c r="M30" s="61" t="s">
        <v>410</v>
      </c>
      <c r="N30" s="199">
        <v>7</v>
      </c>
      <c r="O30" s="193"/>
      <c r="P30" s="91"/>
      <c r="Q30" s="193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</row>
    <row r="31" spans="1:246" s="92" customFormat="1" ht="16.350000000000001" customHeight="1">
      <c r="A31" s="194" t="s">
        <v>73</v>
      </c>
      <c r="B31" s="195">
        <v>176</v>
      </c>
      <c r="C31" s="53" t="s">
        <v>227</v>
      </c>
      <c r="D31" s="54" t="s">
        <v>411</v>
      </c>
      <c r="E31" s="55" t="s">
        <v>412</v>
      </c>
      <c r="F31" s="56" t="s">
        <v>80</v>
      </c>
      <c r="G31" s="251" t="s">
        <v>73</v>
      </c>
      <c r="H31" s="254">
        <v>7.11</v>
      </c>
      <c r="I31" s="253">
        <v>0.14699999999999999</v>
      </c>
      <c r="J31" s="254"/>
      <c r="K31" s="253"/>
      <c r="L31" s="255" t="str">
        <f t="shared" si="1"/>
        <v>I A</v>
      </c>
      <c r="M31" s="61" t="s">
        <v>283</v>
      </c>
      <c r="N31" s="199">
        <v>7.09</v>
      </c>
      <c r="O31" s="193"/>
      <c r="P31" s="91"/>
      <c r="Q31" s="193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</row>
    <row r="32" spans="1:246" s="92" customFormat="1" ht="16.350000000000001" customHeight="1">
      <c r="A32" s="194" t="s">
        <v>73</v>
      </c>
      <c r="B32" s="195">
        <v>114</v>
      </c>
      <c r="C32" s="53" t="s">
        <v>66</v>
      </c>
      <c r="D32" s="54" t="s">
        <v>267</v>
      </c>
      <c r="E32" s="55" t="s">
        <v>268</v>
      </c>
      <c r="F32" s="56" t="s">
        <v>269</v>
      </c>
      <c r="G32" s="251" t="s">
        <v>73</v>
      </c>
      <c r="H32" s="254">
        <v>7.17</v>
      </c>
      <c r="I32" s="253">
        <v>0.17399999999999999</v>
      </c>
      <c r="J32" s="254"/>
      <c r="K32" s="253"/>
      <c r="L32" s="255" t="str">
        <f t="shared" si="1"/>
        <v>I A</v>
      </c>
      <c r="M32" s="61" t="s">
        <v>270</v>
      </c>
      <c r="N32" s="199" t="s">
        <v>28</v>
      </c>
      <c r="O32" s="193"/>
      <c r="P32" s="91"/>
      <c r="Q32" s="193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</row>
    <row r="33" spans="1:246" s="92" customFormat="1" ht="16.350000000000001" customHeight="1">
      <c r="A33" s="194" t="s">
        <v>73</v>
      </c>
      <c r="B33" s="195">
        <v>21</v>
      </c>
      <c r="C33" s="53" t="s">
        <v>413</v>
      </c>
      <c r="D33" s="54" t="s">
        <v>414</v>
      </c>
      <c r="E33" s="55" t="s">
        <v>415</v>
      </c>
      <c r="F33" s="56" t="s">
        <v>145</v>
      </c>
      <c r="G33" s="251" t="s">
        <v>73</v>
      </c>
      <c r="H33" s="254">
        <v>7.38</v>
      </c>
      <c r="I33" s="253">
        <v>0.185</v>
      </c>
      <c r="J33" s="254"/>
      <c r="K33" s="253"/>
      <c r="L33" s="255" t="str">
        <f t="shared" si="1"/>
        <v>II A</v>
      </c>
      <c r="M33" s="61" t="s">
        <v>416</v>
      </c>
      <c r="N33" s="199">
        <v>7.43</v>
      </c>
      <c r="O33" s="193"/>
      <c r="P33" s="91"/>
      <c r="Q33" s="193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</row>
    <row r="34" spans="1:246" s="92" customFormat="1" ht="16.350000000000001" customHeight="1">
      <c r="A34" s="194" t="s">
        <v>73</v>
      </c>
      <c r="B34" s="195">
        <v>174</v>
      </c>
      <c r="C34" s="53" t="s">
        <v>417</v>
      </c>
      <c r="D34" s="54" t="s">
        <v>418</v>
      </c>
      <c r="E34" s="55" t="s">
        <v>419</v>
      </c>
      <c r="F34" s="56" t="s">
        <v>80</v>
      </c>
      <c r="G34" s="251" t="s">
        <v>73</v>
      </c>
      <c r="H34" s="254">
        <v>7.61</v>
      </c>
      <c r="I34" s="253">
        <v>0.19500000000000001</v>
      </c>
      <c r="J34" s="254"/>
      <c r="K34" s="253"/>
      <c r="L34" s="255" t="str">
        <f t="shared" si="1"/>
        <v>II A</v>
      </c>
      <c r="M34" s="61" t="s">
        <v>27</v>
      </c>
      <c r="N34" s="199">
        <v>7.55</v>
      </c>
      <c r="O34" s="193"/>
      <c r="P34" s="91"/>
      <c r="Q34" s="193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</row>
    <row r="35" spans="1:246" s="92" customFormat="1" ht="16.350000000000001" customHeight="1">
      <c r="A35" s="194" t="s">
        <v>73</v>
      </c>
      <c r="B35" s="195">
        <v>172</v>
      </c>
      <c r="C35" s="53" t="s">
        <v>316</v>
      </c>
      <c r="D35" s="54" t="s">
        <v>420</v>
      </c>
      <c r="E35" s="55" t="s">
        <v>421</v>
      </c>
      <c r="F35" s="56" t="s">
        <v>80</v>
      </c>
      <c r="G35" s="251" t="s">
        <v>73</v>
      </c>
      <c r="H35" s="254">
        <v>8.02</v>
      </c>
      <c r="I35" s="253">
        <v>0.115</v>
      </c>
      <c r="J35" s="254"/>
      <c r="K35" s="253"/>
      <c r="L35" s="255" t="str">
        <f t="shared" si="1"/>
        <v>III A</v>
      </c>
      <c r="M35" s="61" t="s">
        <v>422</v>
      </c>
      <c r="N35" s="256" t="s">
        <v>28</v>
      </c>
      <c r="O35" s="193">
        <v>5</v>
      </c>
      <c r="P35" s="91">
        <v>2</v>
      </c>
      <c r="Q35" s="193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</row>
    <row r="36" spans="1:246" s="92" customFormat="1" ht="16.350000000000001" customHeight="1">
      <c r="A36" s="194"/>
      <c r="B36" s="195">
        <v>11</v>
      </c>
      <c r="C36" s="53" t="s">
        <v>233</v>
      </c>
      <c r="D36" s="54" t="s">
        <v>334</v>
      </c>
      <c r="E36" s="55" t="s">
        <v>423</v>
      </c>
      <c r="F36" s="56" t="s">
        <v>21</v>
      </c>
      <c r="G36" s="251"/>
      <c r="H36" s="254" t="s">
        <v>72</v>
      </c>
      <c r="I36" s="253"/>
      <c r="J36" s="254"/>
      <c r="K36" s="253"/>
      <c r="L36" s="255" t="str">
        <f t="shared" si="1"/>
        <v/>
      </c>
      <c r="M36" s="61" t="s">
        <v>135</v>
      </c>
      <c r="N36" s="256">
        <v>8.83</v>
      </c>
      <c r="O36" s="193">
        <v>1</v>
      </c>
      <c r="P36" s="91">
        <v>1</v>
      </c>
      <c r="Q36" s="193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</row>
    <row r="37" spans="1:246" s="92" customFormat="1" ht="16.350000000000001" customHeight="1">
      <c r="A37" s="194"/>
      <c r="B37" s="195">
        <v>28</v>
      </c>
      <c r="C37" s="53" t="s">
        <v>424</v>
      </c>
      <c r="D37" s="54" t="s">
        <v>425</v>
      </c>
      <c r="E37" s="55" t="s">
        <v>426</v>
      </c>
      <c r="F37" s="56" t="s">
        <v>21</v>
      </c>
      <c r="G37" s="251"/>
      <c r="H37" s="254" t="s">
        <v>72</v>
      </c>
      <c r="I37" s="253"/>
      <c r="J37" s="254"/>
      <c r="K37" s="253"/>
      <c r="L37" s="255" t="str">
        <f t="shared" si="1"/>
        <v/>
      </c>
      <c r="M37" s="61" t="s">
        <v>135</v>
      </c>
      <c r="N37" s="256">
        <v>7.06</v>
      </c>
      <c r="O37" s="193">
        <v>3</v>
      </c>
      <c r="P37" s="91">
        <v>4</v>
      </c>
      <c r="Q37" s="193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1:IJ43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bestFit="1" customWidth="1"/>
    <col min="9" max="9" width="4.140625" style="67" customWidth="1"/>
    <col min="10" max="10" width="5.140625" style="28" customWidth="1"/>
    <col min="11" max="11" width="24.5703125" style="23" customWidth="1"/>
    <col min="12" max="12" width="5.5703125" style="192" hidden="1" customWidth="1"/>
    <col min="13" max="13" width="4.5703125" style="289" hidden="1" customWidth="1"/>
    <col min="14" max="14" width="0" style="23" hidden="1" customWidth="1"/>
    <col min="15" max="243" width="9.140625" style="23"/>
    <col min="244" max="16384" width="9.140625" style="70"/>
  </cols>
  <sheetData>
    <row r="1" spans="1:244" s="2" customFormat="1" ht="18.75">
      <c r="A1" s="1" t="s">
        <v>0</v>
      </c>
      <c r="E1" s="3"/>
      <c r="F1" s="4"/>
      <c r="G1" s="5"/>
      <c r="H1" s="66"/>
      <c r="I1" s="67"/>
      <c r="J1" s="3"/>
      <c r="L1" s="190"/>
      <c r="M1" s="294"/>
      <c r="IJ1" s="70"/>
    </row>
    <row r="2" spans="1:244" s="2" customFormat="1" ht="13.5" customHeight="1">
      <c r="E2" s="3"/>
      <c r="F2" s="4"/>
      <c r="G2" s="5"/>
      <c r="H2" s="66"/>
      <c r="I2" s="67"/>
      <c r="J2" s="3"/>
      <c r="K2" s="11" t="s">
        <v>1</v>
      </c>
      <c r="L2" s="190"/>
      <c r="M2" s="294"/>
      <c r="IJ2" s="70"/>
    </row>
    <row r="3" spans="1:244" s="12" customFormat="1" ht="4.5" customHeight="1">
      <c r="C3" s="13"/>
      <c r="E3" s="14"/>
      <c r="F3" s="15"/>
      <c r="G3" s="71"/>
      <c r="H3" s="72"/>
      <c r="I3" s="73"/>
      <c r="J3" s="74"/>
      <c r="K3" s="20"/>
      <c r="L3" s="192"/>
      <c r="M3" s="289"/>
    </row>
    <row r="4" spans="1:244" ht="15.75">
      <c r="C4" s="24" t="s">
        <v>500</v>
      </c>
      <c r="E4" s="25"/>
      <c r="F4" s="26"/>
      <c r="K4" s="29" t="s">
        <v>3</v>
      </c>
    </row>
    <row r="5" spans="1:244" s="12" customFormat="1" ht="6" customHeight="1">
      <c r="E5" s="36"/>
      <c r="F5" s="37"/>
      <c r="G5" s="71"/>
      <c r="H5" s="77"/>
      <c r="I5" s="73"/>
      <c r="J5" s="74"/>
      <c r="K5" s="20"/>
      <c r="L5" s="192"/>
      <c r="M5" s="289"/>
    </row>
    <row r="6" spans="1:244" s="12" customFormat="1" ht="12.75" customHeight="1">
      <c r="C6" s="23"/>
      <c r="D6" s="33">
        <v>1</v>
      </c>
      <c r="E6" s="34" t="s">
        <v>427</v>
      </c>
      <c r="F6" s="35"/>
      <c r="G6" s="71"/>
      <c r="H6" s="72"/>
      <c r="I6" s="73"/>
      <c r="J6" s="74"/>
      <c r="K6" s="20"/>
      <c r="L6" s="192"/>
      <c r="M6" s="289"/>
    </row>
    <row r="7" spans="1:244" s="12" customFormat="1" ht="6" customHeight="1">
      <c r="E7" s="36"/>
      <c r="F7" s="37"/>
      <c r="G7" s="71"/>
      <c r="H7" s="77"/>
      <c r="I7" s="73"/>
      <c r="J7" s="74"/>
      <c r="K7" s="20"/>
      <c r="L7" s="192"/>
      <c r="M7" s="289"/>
    </row>
    <row r="8" spans="1:244" ht="11.25" customHeight="1">
      <c r="A8" s="39" t="s">
        <v>5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192" t="s">
        <v>17</v>
      </c>
      <c r="M8" s="293" t="s">
        <v>5</v>
      </c>
    </row>
    <row r="9" spans="1:244" s="92" customFormat="1" ht="16.350000000000001" customHeight="1">
      <c r="A9" s="51">
        <v>1</v>
      </c>
      <c r="B9" s="52">
        <v>136</v>
      </c>
      <c r="C9" s="53" t="s">
        <v>166</v>
      </c>
      <c r="D9" s="54" t="s">
        <v>170</v>
      </c>
      <c r="E9" s="55" t="s">
        <v>171</v>
      </c>
      <c r="F9" s="56" t="s">
        <v>172</v>
      </c>
      <c r="G9" s="218">
        <f>IF(ISBLANK(H9),"",TRUNC(1.962*(H9-47.5)^2))</f>
        <v>362</v>
      </c>
      <c r="H9" s="60">
        <v>33.909999999999997</v>
      </c>
      <c r="I9" s="216">
        <v>0.37</v>
      </c>
      <c r="J9" s="291" t="str">
        <f>IF(ISBLANK(H9),"",IF(H9&gt;31.74,"",IF(H9&lt;=0,"TSM",IF(H9&lt;=0,"SM",IF(H9&lt;=25.95,"KSM",IF(H9&lt;=27.35,"I A",IF(H9&lt;=29.24,"II A",IF(H9&lt;=31.74,"III A"))))))))</f>
        <v/>
      </c>
      <c r="K9" s="61" t="s">
        <v>174</v>
      </c>
      <c r="L9" s="292" t="s">
        <v>28</v>
      </c>
      <c r="M9" s="290">
        <v>1</v>
      </c>
      <c r="N9" s="91">
        <v>1</v>
      </c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</row>
    <row r="10" spans="1:244" s="92" customFormat="1" ht="16.350000000000001" customHeight="1">
      <c r="A10" s="51">
        <v>2</v>
      </c>
      <c r="B10" s="52">
        <v>158</v>
      </c>
      <c r="C10" s="53" t="s">
        <v>341</v>
      </c>
      <c r="D10" s="54" t="s">
        <v>342</v>
      </c>
      <c r="E10" s="55" t="s">
        <v>343</v>
      </c>
      <c r="F10" s="56" t="s">
        <v>48</v>
      </c>
      <c r="G10" s="218">
        <f>IF(ISBLANK(H10),"",TRUNC(1.962*(H10-47.5)^2))</f>
        <v>659</v>
      </c>
      <c r="H10" s="60">
        <v>29.16</v>
      </c>
      <c r="I10" s="216">
        <v>0.216</v>
      </c>
      <c r="J10" s="291" t="str">
        <f>IF(ISBLANK(H10),"",IF(H10&gt;31.74,"",IF(H10&lt;=0,"TSM",IF(H10&lt;=0,"SM",IF(H10&lt;=25.95,"KSM",IF(H10&lt;=27.35,"I A",IF(H10&lt;=29.24,"II A",IF(H10&lt;=31.74,"III A"))))))))</f>
        <v>II A</v>
      </c>
      <c r="K10" s="61" t="s">
        <v>263</v>
      </c>
      <c r="L10" s="292"/>
      <c r="M10" s="290">
        <v>2</v>
      </c>
      <c r="N10" s="91">
        <v>1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</row>
    <row r="11" spans="1:244" s="92" customFormat="1" ht="16.350000000000001" customHeight="1">
      <c r="A11" s="51">
        <v>3</v>
      </c>
      <c r="B11" s="52">
        <v>33</v>
      </c>
      <c r="C11" s="53" t="s">
        <v>175</v>
      </c>
      <c r="D11" s="54" t="s">
        <v>176</v>
      </c>
      <c r="E11" s="55" t="s">
        <v>177</v>
      </c>
      <c r="F11" s="56" t="s">
        <v>26</v>
      </c>
      <c r="G11" s="218">
        <f>IF(ISBLANK(H11),"",TRUNC(1.962*(H11-47.5)^2))</f>
        <v>758</v>
      </c>
      <c r="H11" s="60">
        <v>27.84</v>
      </c>
      <c r="I11" s="216">
        <v>0.36299999999999999</v>
      </c>
      <c r="J11" s="291" t="str">
        <f>IF(ISBLANK(H11),"",IF(H11&gt;31.74,"",IF(H11&lt;=0,"TSM",IF(H11&lt;=0,"SM",IF(H11&lt;=25.95,"KSM",IF(H11&lt;=27.35,"I A",IF(H11&lt;=29.24,"II A",IF(H11&lt;=31.74,"III A"))))))))</f>
        <v>II A</v>
      </c>
      <c r="K11" s="61" t="s">
        <v>27</v>
      </c>
      <c r="L11" s="256">
        <v>8.35</v>
      </c>
      <c r="M11" s="290">
        <v>3</v>
      </c>
      <c r="N11" s="91">
        <v>1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</row>
    <row r="12" spans="1:244" s="92" customFormat="1" ht="16.350000000000001" customHeight="1">
      <c r="A12" s="51">
        <v>4</v>
      </c>
      <c r="B12" s="52">
        <v>107</v>
      </c>
      <c r="C12" s="53" t="s">
        <v>142</v>
      </c>
      <c r="D12" s="54" t="s">
        <v>143</v>
      </c>
      <c r="E12" s="55" t="s">
        <v>144</v>
      </c>
      <c r="F12" s="56" t="s">
        <v>145</v>
      </c>
      <c r="G12" s="218" t="s">
        <v>73</v>
      </c>
      <c r="H12" s="60">
        <v>27.03</v>
      </c>
      <c r="I12" s="216">
        <v>0.20599999999999999</v>
      </c>
      <c r="J12" s="291" t="str">
        <f>IF(ISBLANK(H12),"",IF(H12&gt;31.74,"",IF(H12&lt;=0,"TSM",IF(H12&lt;=0,"SM",IF(H12&lt;=25.95,"KSM",IF(H12&lt;=27.35,"I A",IF(H12&lt;=29.24,"II A",IF(H12&lt;=31.74,"III A"))))))))</f>
        <v>I A</v>
      </c>
      <c r="K12" s="61" t="s">
        <v>146</v>
      </c>
      <c r="L12" s="292"/>
      <c r="M12" s="290">
        <v>4</v>
      </c>
      <c r="N12" s="91">
        <v>1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</row>
    <row r="13" spans="1:244" s="12" customFormat="1" ht="6" customHeight="1">
      <c r="E13" s="36"/>
      <c r="F13" s="37"/>
      <c r="G13" s="71"/>
      <c r="H13" s="77"/>
      <c r="I13" s="73"/>
      <c r="J13" s="74"/>
      <c r="K13" s="20"/>
      <c r="L13" s="192"/>
      <c r="M13" s="289"/>
    </row>
    <row r="14" spans="1:244" s="12" customFormat="1" ht="12.75" customHeight="1">
      <c r="C14" s="23"/>
      <c r="D14" s="33">
        <v>2</v>
      </c>
      <c r="E14" s="34" t="s">
        <v>427</v>
      </c>
      <c r="F14" s="35"/>
      <c r="G14" s="71"/>
      <c r="H14" s="72"/>
      <c r="I14" s="73"/>
      <c r="J14" s="74"/>
      <c r="K14" s="20"/>
      <c r="L14" s="192"/>
      <c r="M14" s="289"/>
    </row>
    <row r="15" spans="1:244" s="12" customFormat="1" ht="6" customHeight="1">
      <c r="E15" s="36"/>
      <c r="F15" s="37"/>
      <c r="G15" s="71"/>
      <c r="H15" s="77"/>
      <c r="I15" s="73"/>
      <c r="J15" s="74"/>
      <c r="K15" s="20"/>
      <c r="L15" s="192"/>
      <c r="M15" s="289"/>
    </row>
    <row r="16" spans="1:244" ht="11.25" customHeight="1">
      <c r="A16" s="39" t="s">
        <v>5</v>
      </c>
      <c r="B16" s="39" t="s">
        <v>6</v>
      </c>
      <c r="C16" s="41" t="s">
        <v>7</v>
      </c>
      <c r="D16" s="42" t="s">
        <v>8</v>
      </c>
      <c r="E16" s="80" t="s">
        <v>9</v>
      </c>
      <c r="F16" s="44" t="s">
        <v>10</v>
      </c>
      <c r="G16" s="45" t="s">
        <v>11</v>
      </c>
      <c r="H16" s="81" t="s">
        <v>12</v>
      </c>
      <c r="I16" s="82" t="s">
        <v>13</v>
      </c>
      <c r="J16" s="48" t="s">
        <v>15</v>
      </c>
      <c r="K16" s="39" t="s">
        <v>16</v>
      </c>
      <c r="L16" s="192" t="s">
        <v>17</v>
      </c>
      <c r="M16" s="293" t="s">
        <v>5</v>
      </c>
    </row>
    <row r="17" spans="1:241" s="92" customFormat="1" ht="14.45" customHeight="1">
      <c r="A17" s="51">
        <v>1</v>
      </c>
      <c r="B17" s="52"/>
      <c r="C17" s="53"/>
      <c r="D17" s="54"/>
      <c r="E17" s="55"/>
      <c r="F17" s="56"/>
      <c r="G17" s="218" t="str">
        <f>IF(ISBLANK(H17),"",TRUNC(1.962*(H17-47.5)^2))</f>
        <v/>
      </c>
      <c r="H17" s="60"/>
      <c r="I17" s="216"/>
      <c r="J17" s="291" t="str">
        <f>IF(ISBLANK(H17),"",IF(H17&gt;31.74,"",IF(H17&lt;=0,"TSM",IF(H17&lt;=0,"SM",IF(H17&lt;=25.95,"KSM",IF(H17&lt;=27.35,"I A",IF(H17&lt;=29.24,"II A",IF(H17&lt;=31.74,"III A"))))))))</f>
        <v/>
      </c>
      <c r="K17" s="61"/>
      <c r="L17" s="292"/>
      <c r="M17" s="290">
        <v>1</v>
      </c>
      <c r="N17" s="91">
        <v>2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</row>
    <row r="18" spans="1:241" s="92" customFormat="1" ht="16.350000000000001" customHeight="1">
      <c r="A18" s="51">
        <v>2</v>
      </c>
      <c r="B18" s="52">
        <v>34</v>
      </c>
      <c r="C18" s="53" t="s">
        <v>185</v>
      </c>
      <c r="D18" s="54" t="s">
        <v>186</v>
      </c>
      <c r="E18" s="55" t="s">
        <v>187</v>
      </c>
      <c r="F18" s="56" t="s">
        <v>21</v>
      </c>
      <c r="G18" s="218">
        <f>IF(ISBLANK(H18),"",TRUNC(1.962*(H18-47.5)^2))</f>
        <v>828</v>
      </c>
      <c r="H18" s="60">
        <v>26.95</v>
      </c>
      <c r="I18" s="216">
        <v>0.24199999999999999</v>
      </c>
      <c r="J18" s="291" t="str">
        <f>IF(ISBLANK(H18),"",IF(H18&gt;31.74,"",IF(H18&lt;=0,"TSM",IF(H18&lt;=0,"SM",IF(H18&lt;=25.95,"KSM",IF(H18&lt;=27.35,"I A",IF(H18&lt;=29.24,"II A",IF(H18&lt;=31.74,"III A"))))))))</f>
        <v>I A</v>
      </c>
      <c r="K18" s="61" t="s">
        <v>188</v>
      </c>
      <c r="L18" s="256">
        <v>8.35</v>
      </c>
      <c r="M18" s="290">
        <v>2</v>
      </c>
      <c r="N18" s="91">
        <v>2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</row>
    <row r="19" spans="1:241" s="92" customFormat="1" ht="16.350000000000001" customHeight="1">
      <c r="A19" s="51">
        <v>3</v>
      </c>
      <c r="B19" s="52">
        <v>54</v>
      </c>
      <c r="C19" s="53" t="s">
        <v>34</v>
      </c>
      <c r="D19" s="54" t="s">
        <v>35</v>
      </c>
      <c r="E19" s="55" t="s">
        <v>36</v>
      </c>
      <c r="F19" s="56" t="s">
        <v>26</v>
      </c>
      <c r="G19" s="218">
        <f>IF(ISBLANK(H19),"",TRUNC(1.962*(H19-47.5)^2))</f>
        <v>904</v>
      </c>
      <c r="H19" s="60">
        <v>26.03</v>
      </c>
      <c r="I19" s="216">
        <v>0.16</v>
      </c>
      <c r="J19" s="291" t="str">
        <f>IF(ISBLANK(H19),"",IF(H19&gt;31.74,"",IF(H19&lt;=0,"TSM",IF(H19&lt;=0,"SM",IF(H19&lt;=25.95,"KSM",IF(H19&lt;=27.35,"I A",IF(H19&lt;=29.24,"II A",IF(H19&lt;=31.74,"III A"))))))))</f>
        <v>I A</v>
      </c>
      <c r="K19" s="61" t="s">
        <v>37</v>
      </c>
      <c r="L19" s="292"/>
      <c r="M19" s="290">
        <v>3</v>
      </c>
      <c r="N19" s="91">
        <v>2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</row>
    <row r="20" spans="1:241" s="92" customFormat="1" ht="16.350000000000001" customHeight="1">
      <c r="A20" s="51">
        <v>4</v>
      </c>
      <c r="B20" s="52">
        <v>2</v>
      </c>
      <c r="C20" s="53" t="s">
        <v>178</v>
      </c>
      <c r="D20" s="54" t="s">
        <v>179</v>
      </c>
      <c r="E20" s="55" t="s">
        <v>180</v>
      </c>
      <c r="F20" s="56" t="s">
        <v>21</v>
      </c>
      <c r="G20" s="218">
        <f>IF(ISBLANK(H20),"",TRUNC(1.962*(H20-47.5)^2))</f>
        <v>766</v>
      </c>
      <c r="H20" s="60">
        <v>27.74</v>
      </c>
      <c r="I20" s="216">
        <v>0.23300000000000001</v>
      </c>
      <c r="J20" s="291" t="str">
        <f>IF(ISBLANK(H20),"",IF(H20&gt;31.74,"",IF(H20&lt;=0,"TSM",IF(H20&lt;=0,"SM",IF(H20&lt;=25.95,"KSM",IF(H20&lt;=27.35,"I A",IF(H20&lt;=29.24,"II A",IF(H20&lt;=31.74,"III A"))))))))</f>
        <v>II A</v>
      </c>
      <c r="K20" s="61" t="s">
        <v>181</v>
      </c>
      <c r="L20" s="292"/>
      <c r="M20" s="290">
        <v>4</v>
      </c>
      <c r="N20" s="91">
        <v>2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</row>
    <row r="21" spans="1:241" s="12" customFormat="1" ht="6" customHeight="1">
      <c r="E21" s="36"/>
      <c r="F21" s="37"/>
      <c r="G21" s="71"/>
      <c r="H21" s="77"/>
      <c r="I21" s="73"/>
      <c r="J21" s="74"/>
      <c r="K21" s="20"/>
      <c r="L21" s="192"/>
      <c r="M21" s="289"/>
    </row>
    <row r="22" spans="1:241" s="12" customFormat="1" ht="12.75" customHeight="1">
      <c r="C22" s="23"/>
      <c r="D22" s="33">
        <v>3</v>
      </c>
      <c r="E22" s="34" t="s">
        <v>427</v>
      </c>
      <c r="F22" s="35"/>
      <c r="G22" s="71"/>
      <c r="H22" s="72"/>
      <c r="I22" s="73"/>
      <c r="J22" s="74"/>
      <c r="K22" s="20"/>
      <c r="L22" s="192"/>
      <c r="M22" s="289"/>
    </row>
    <row r="23" spans="1:241" s="12" customFormat="1" ht="6" customHeight="1">
      <c r="E23" s="36"/>
      <c r="F23" s="37"/>
      <c r="G23" s="71"/>
      <c r="H23" s="77"/>
      <c r="I23" s="73"/>
      <c r="J23" s="74"/>
      <c r="K23" s="20"/>
      <c r="L23" s="192"/>
      <c r="M23" s="289"/>
    </row>
    <row r="24" spans="1:241" ht="11.25" customHeight="1">
      <c r="A24" s="39" t="s">
        <v>5</v>
      </c>
      <c r="B24" s="39" t="s">
        <v>6</v>
      </c>
      <c r="C24" s="41" t="s">
        <v>7</v>
      </c>
      <c r="D24" s="42" t="s">
        <v>8</v>
      </c>
      <c r="E24" s="80" t="s">
        <v>9</v>
      </c>
      <c r="F24" s="44" t="s">
        <v>10</v>
      </c>
      <c r="G24" s="45" t="s">
        <v>11</v>
      </c>
      <c r="H24" s="81" t="s">
        <v>12</v>
      </c>
      <c r="I24" s="82" t="s">
        <v>13</v>
      </c>
      <c r="J24" s="48" t="s">
        <v>15</v>
      </c>
      <c r="K24" s="39" t="s">
        <v>16</v>
      </c>
      <c r="L24" s="192" t="s">
        <v>17</v>
      </c>
      <c r="M24" s="293" t="s">
        <v>5</v>
      </c>
    </row>
    <row r="25" spans="1:241" s="92" customFormat="1" ht="14.45" customHeight="1">
      <c r="A25" s="51">
        <v>1</v>
      </c>
      <c r="B25" s="52"/>
      <c r="C25" s="53"/>
      <c r="D25" s="54"/>
      <c r="E25" s="55"/>
      <c r="F25" s="56"/>
      <c r="G25" s="218" t="str">
        <f>IF(ISBLANK(H25),"",TRUNC(1.962*(H25-47.5)^2))</f>
        <v/>
      </c>
      <c r="H25" s="60"/>
      <c r="I25" s="216"/>
      <c r="J25" s="291" t="str">
        <f>IF(ISBLANK(H25),"",IF(H25&gt;31.74,"",IF(H25&lt;=0,"TSM",IF(H25&lt;=0,"SM",IF(H25&lt;=25.95,"KSM",IF(H25&lt;=27.35,"I A",IF(H25&lt;=29.24,"II A",IF(H25&lt;=31.74,"III A"))))))))</f>
        <v/>
      </c>
      <c r="K25" s="61"/>
      <c r="L25" s="292"/>
      <c r="M25" s="290">
        <v>1</v>
      </c>
      <c r="N25" s="91">
        <v>3</v>
      </c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</row>
    <row r="26" spans="1:241" s="92" customFormat="1" ht="16.350000000000001" customHeight="1">
      <c r="A26" s="51">
        <v>2</v>
      </c>
      <c r="B26" s="52">
        <v>16</v>
      </c>
      <c r="C26" s="53" t="s">
        <v>200</v>
      </c>
      <c r="D26" s="54" t="s">
        <v>201</v>
      </c>
      <c r="E26" s="55" t="s">
        <v>202</v>
      </c>
      <c r="F26" s="56" t="s">
        <v>21</v>
      </c>
      <c r="G26" s="218">
        <f>IF(ISBLANK(H26),"",TRUNC(1.962*(H26-47.5)^2))</f>
        <v>599</v>
      </c>
      <c r="H26" s="60">
        <v>30.02</v>
      </c>
      <c r="I26" s="216">
        <v>0.23100000000000001</v>
      </c>
      <c r="J26" s="291" t="str">
        <f>IF(ISBLANK(H26),"",IF(H26&gt;31.74,"",IF(H26&lt;=0,"TSM",IF(H26&lt;=0,"SM",IF(H26&lt;=25.95,"KSM",IF(H26&lt;=27.35,"I A",IF(H26&lt;=29.24,"II A",IF(H26&lt;=31.74,"III A"))))))))</f>
        <v>III A</v>
      </c>
      <c r="K26" s="61" t="s">
        <v>203</v>
      </c>
      <c r="L26" s="256">
        <v>9.02</v>
      </c>
      <c r="M26" s="290">
        <v>2</v>
      </c>
      <c r="N26" s="91">
        <v>3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</row>
    <row r="27" spans="1:241" s="92" customFormat="1" ht="16.350000000000001" customHeight="1">
      <c r="A27" s="51">
        <v>3</v>
      </c>
      <c r="B27" s="52">
        <v>25</v>
      </c>
      <c r="C27" s="53" t="s">
        <v>196</v>
      </c>
      <c r="D27" s="54" t="s">
        <v>197</v>
      </c>
      <c r="E27" s="55" t="s">
        <v>198</v>
      </c>
      <c r="F27" s="56" t="s">
        <v>26</v>
      </c>
      <c r="G27" s="218"/>
      <c r="H27" s="60" t="s">
        <v>72</v>
      </c>
      <c r="I27" s="216"/>
      <c r="J27" s="291" t="str">
        <f>IF(ISBLANK(H27),"",IF(H27&gt;31.74,"",IF(H27&lt;=0,"TSM",IF(H27&lt;=0,"SM",IF(H27&lt;=25.95,"KSM",IF(H27&lt;=27.35,"I A",IF(H27&lt;=29.24,"II A",IF(H27&lt;=31.74,"III A"))))))))</f>
        <v/>
      </c>
      <c r="K27" s="61" t="s">
        <v>199</v>
      </c>
      <c r="L27" s="256">
        <v>7.92</v>
      </c>
      <c r="M27" s="290">
        <v>3</v>
      </c>
      <c r="N27" s="91">
        <v>3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</row>
    <row r="28" spans="1:241" s="92" customFormat="1" ht="16.350000000000001" customHeight="1">
      <c r="A28" s="51">
        <v>4</v>
      </c>
      <c r="B28" s="52">
        <v>13</v>
      </c>
      <c r="C28" s="53" t="s">
        <v>192</v>
      </c>
      <c r="D28" s="54" t="s">
        <v>193</v>
      </c>
      <c r="E28" s="55" t="s">
        <v>194</v>
      </c>
      <c r="F28" s="56" t="s">
        <v>21</v>
      </c>
      <c r="G28" s="218">
        <f>IF(ISBLANK(H28),"",TRUNC(1.962*(H28-47.5)^2))</f>
        <v>829</v>
      </c>
      <c r="H28" s="60">
        <v>26.94</v>
      </c>
      <c r="I28" s="216">
        <v>0.27400000000000002</v>
      </c>
      <c r="J28" s="291" t="str">
        <f>IF(ISBLANK(H28),"",IF(H28&gt;31.74,"",IF(H28&lt;=0,"TSM",IF(H28&lt;=0,"SM",IF(H28&lt;=25.95,"KSM",IF(H28&lt;=27.35,"I A",IF(H28&lt;=29.24,"II A",IF(H28&lt;=31.74,"III A"))))))))</f>
        <v>I A</v>
      </c>
      <c r="K28" s="61" t="s">
        <v>195</v>
      </c>
      <c r="L28" s="256">
        <v>8.02</v>
      </c>
      <c r="M28" s="290">
        <v>4</v>
      </c>
      <c r="N28" s="91">
        <v>3</v>
      </c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</row>
    <row r="29" spans="1:241" s="12" customFormat="1" ht="6" customHeight="1">
      <c r="E29" s="36"/>
      <c r="F29" s="37"/>
      <c r="G29" s="71"/>
      <c r="H29" s="77"/>
      <c r="I29" s="73"/>
      <c r="J29" s="74"/>
      <c r="K29" s="20"/>
      <c r="L29" s="192"/>
      <c r="M29" s="289"/>
    </row>
    <row r="30" spans="1:241" s="12" customFormat="1" ht="12.75" customHeight="1">
      <c r="C30" s="23"/>
      <c r="D30" s="33">
        <v>4</v>
      </c>
      <c r="E30" s="34" t="s">
        <v>427</v>
      </c>
      <c r="F30" s="35"/>
      <c r="G30" s="71"/>
      <c r="H30" s="72"/>
      <c r="I30" s="73"/>
      <c r="J30" s="74"/>
      <c r="K30" s="20"/>
      <c r="L30" s="192"/>
      <c r="M30" s="289"/>
    </row>
    <row r="31" spans="1:241" s="12" customFormat="1" ht="6" customHeight="1">
      <c r="E31" s="36"/>
      <c r="F31" s="37"/>
      <c r="G31" s="71"/>
      <c r="H31" s="77"/>
      <c r="I31" s="73"/>
      <c r="J31" s="74"/>
      <c r="K31" s="20"/>
      <c r="L31" s="192"/>
      <c r="M31" s="289"/>
    </row>
    <row r="32" spans="1:241" ht="11.25" customHeight="1">
      <c r="A32" s="39" t="s">
        <v>5</v>
      </c>
      <c r="B32" s="39" t="s">
        <v>6</v>
      </c>
      <c r="C32" s="41" t="s">
        <v>7</v>
      </c>
      <c r="D32" s="42" t="s">
        <v>8</v>
      </c>
      <c r="E32" s="80" t="s">
        <v>9</v>
      </c>
      <c r="F32" s="44" t="s">
        <v>10</v>
      </c>
      <c r="G32" s="45" t="s">
        <v>11</v>
      </c>
      <c r="H32" s="81" t="s">
        <v>12</v>
      </c>
      <c r="I32" s="82" t="s">
        <v>13</v>
      </c>
      <c r="J32" s="48" t="s">
        <v>15</v>
      </c>
      <c r="K32" s="39" t="s">
        <v>16</v>
      </c>
      <c r="L32" s="192" t="s">
        <v>17</v>
      </c>
      <c r="M32" s="293" t="s">
        <v>5</v>
      </c>
    </row>
    <row r="33" spans="1:241" s="92" customFormat="1" ht="14.45" customHeight="1">
      <c r="A33" s="51">
        <v>1</v>
      </c>
      <c r="B33" s="52"/>
      <c r="C33" s="53"/>
      <c r="D33" s="54"/>
      <c r="E33" s="55"/>
      <c r="F33" s="56"/>
      <c r="G33" s="218" t="str">
        <f>IF(ISBLANK(H33),"",TRUNC(1.962*(H33-47.5)^2))</f>
        <v/>
      </c>
      <c r="H33" s="60"/>
      <c r="I33" s="216"/>
      <c r="J33" s="291" t="str">
        <f>IF(ISBLANK(H33),"",IF(H33&gt;31.74,"",IF(H33&lt;=0,"TSM",IF(H33&lt;=0,"SM",IF(H33&lt;=25.95,"KSM",IF(H33&lt;=27.35,"I A",IF(H33&lt;=29.24,"II A",IF(H33&lt;=31.74,"III A"))))))))</f>
        <v/>
      </c>
      <c r="K33" s="61"/>
      <c r="L33" s="292"/>
      <c r="M33" s="290">
        <v>1</v>
      </c>
      <c r="N33" s="91">
        <v>4</v>
      </c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</row>
    <row r="34" spans="1:241" s="92" customFormat="1" ht="16.350000000000001" customHeight="1">
      <c r="A34" s="51">
        <v>2</v>
      </c>
      <c r="B34" s="52">
        <v>171</v>
      </c>
      <c r="C34" s="53" t="s">
        <v>38</v>
      </c>
      <c r="D34" s="54" t="s">
        <v>39</v>
      </c>
      <c r="E34" s="55" t="s">
        <v>40</v>
      </c>
      <c r="F34" s="56" t="s">
        <v>41</v>
      </c>
      <c r="G34" s="218">
        <f>IF(ISBLANK(H34),"",TRUNC(1.962*(H34-47.5)^2))</f>
        <v>871</v>
      </c>
      <c r="H34" s="60">
        <v>26.43</v>
      </c>
      <c r="I34" s="216">
        <v>0.16</v>
      </c>
      <c r="J34" s="291" t="str">
        <f>IF(ISBLANK(H34),"",IF(H34&gt;31.74,"",IF(H34&lt;=0,"TSM",IF(H34&lt;=0,"SM",IF(H34&lt;=25.95,"KSM",IF(H34&lt;=27.35,"I A",IF(H34&lt;=29.24,"II A",IF(H34&lt;=31.74,"III A"))))))))</f>
        <v>I A</v>
      </c>
      <c r="K34" s="61" t="s">
        <v>42</v>
      </c>
      <c r="L34" s="292"/>
      <c r="M34" s="290">
        <v>2</v>
      </c>
      <c r="N34" s="91">
        <v>4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</row>
    <row r="35" spans="1:241" s="92" customFormat="1" ht="16.350000000000001" customHeight="1">
      <c r="A35" s="51">
        <v>3</v>
      </c>
      <c r="B35" s="52">
        <v>9</v>
      </c>
      <c r="C35" s="53" t="s">
        <v>18</v>
      </c>
      <c r="D35" s="54" t="s">
        <v>151</v>
      </c>
      <c r="E35" s="55" t="s">
        <v>152</v>
      </c>
      <c r="F35" s="56" t="s">
        <v>21</v>
      </c>
      <c r="G35" s="218">
        <f>IF(ISBLANK(H35),"",TRUNC(1.962*(H35-47.5)^2))</f>
        <v>959</v>
      </c>
      <c r="H35" s="60">
        <v>25.38</v>
      </c>
      <c r="I35" s="216">
        <v>0.255</v>
      </c>
      <c r="J35" s="291" t="str">
        <f>IF(ISBLANK(H35),"",IF(H35&gt;31.74,"",IF(H35&lt;=0,"TSM",IF(H35&lt;=0,"SM",IF(H35&lt;=25.95,"KSM",IF(H35&lt;=27.35,"I A",IF(H35&lt;=29.24,"II A",IF(H35&lt;=31.74,"III A"))))))))</f>
        <v>KSM</v>
      </c>
      <c r="K35" s="61" t="s">
        <v>153</v>
      </c>
      <c r="L35" s="256">
        <v>7.7</v>
      </c>
      <c r="M35" s="290">
        <v>3</v>
      </c>
      <c r="N35" s="91">
        <v>4</v>
      </c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</row>
    <row r="36" spans="1:241" s="92" customFormat="1" ht="16.350000000000001" customHeight="1">
      <c r="A36" s="51">
        <v>4</v>
      </c>
      <c r="B36" s="52">
        <v>60</v>
      </c>
      <c r="C36" s="53" t="s">
        <v>499</v>
      </c>
      <c r="D36" s="54" t="s">
        <v>498</v>
      </c>
      <c r="E36" s="55" t="s">
        <v>497</v>
      </c>
      <c r="F36" s="56" t="s">
        <v>236</v>
      </c>
      <c r="G36" s="218">
        <f>IF(ISBLANK(H36),"",TRUNC(1.962*(H36-47.5)^2))</f>
        <v>980</v>
      </c>
      <c r="H36" s="60">
        <v>25.15</v>
      </c>
      <c r="I36" s="216">
        <v>0.28799999999999998</v>
      </c>
      <c r="J36" s="291" t="str">
        <f>IF(ISBLANK(H36),"",IF(H36&gt;31.74,"",IF(H36&lt;=0,"TSM",IF(H36&lt;=0,"SM",IF(H36&lt;=25.95,"KSM",IF(H36&lt;=27.35,"I A",IF(H36&lt;=29.24,"II A",IF(H36&lt;=31.74,"III A"))))))))</f>
        <v>KSM</v>
      </c>
      <c r="K36" s="61" t="s">
        <v>496</v>
      </c>
      <c r="L36" s="292" t="s">
        <v>495</v>
      </c>
      <c r="M36" s="290">
        <v>4</v>
      </c>
      <c r="N36" s="91">
        <v>4</v>
      </c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</row>
    <row r="37" spans="1:241" s="12" customFormat="1" ht="6" customHeight="1">
      <c r="E37" s="36"/>
      <c r="F37" s="37"/>
      <c r="G37" s="71"/>
      <c r="H37" s="77"/>
      <c r="I37" s="73"/>
      <c r="J37" s="74"/>
      <c r="K37" s="20"/>
      <c r="L37" s="192"/>
      <c r="M37" s="289"/>
    </row>
    <row r="38" spans="1:241" s="12" customFormat="1" ht="12.75" customHeight="1">
      <c r="C38" s="23"/>
      <c r="D38" s="33">
        <v>5</v>
      </c>
      <c r="E38" s="34" t="s">
        <v>427</v>
      </c>
      <c r="F38" s="35"/>
      <c r="G38" s="71"/>
      <c r="H38" s="72"/>
      <c r="I38" s="73"/>
      <c r="J38" s="74"/>
      <c r="K38" s="20"/>
      <c r="L38" s="192"/>
      <c r="M38" s="289"/>
    </row>
    <row r="39" spans="1:241" ht="11.25" customHeight="1">
      <c r="A39" s="39" t="s">
        <v>5</v>
      </c>
      <c r="B39" s="39" t="s">
        <v>6</v>
      </c>
      <c r="C39" s="41" t="s">
        <v>7</v>
      </c>
      <c r="D39" s="42" t="s">
        <v>8</v>
      </c>
      <c r="E39" s="80" t="s">
        <v>9</v>
      </c>
      <c r="F39" s="44" t="s">
        <v>10</v>
      </c>
      <c r="G39" s="45" t="s">
        <v>11</v>
      </c>
      <c r="H39" s="81" t="s">
        <v>12</v>
      </c>
      <c r="I39" s="82" t="s">
        <v>13</v>
      </c>
      <c r="J39" s="48" t="s">
        <v>15</v>
      </c>
      <c r="K39" s="39" t="s">
        <v>16</v>
      </c>
      <c r="L39" s="192" t="s">
        <v>17</v>
      </c>
      <c r="M39" s="293" t="s">
        <v>5</v>
      </c>
    </row>
    <row r="40" spans="1:241" s="92" customFormat="1" ht="14.45" customHeight="1">
      <c r="A40" s="51">
        <v>1</v>
      </c>
      <c r="B40" s="52"/>
      <c r="C40" s="53"/>
      <c r="D40" s="54"/>
      <c r="E40" s="55"/>
      <c r="F40" s="56"/>
      <c r="G40" s="218" t="str">
        <f>IF(ISBLANK(H40),"",TRUNC(1.962*(H40-47.5)^2))</f>
        <v/>
      </c>
      <c r="H40" s="60"/>
      <c r="I40" s="216"/>
      <c r="J40" s="291" t="str">
        <f>IF(ISBLANK(H40),"",IF(H40&gt;31.74,"",IF(H40&lt;=0,"TSM",IF(H40&lt;=0,"SM",IF(H40&lt;=25.95,"KSM",IF(H40&lt;=27.35,"I A",IF(H40&lt;=29.24,"II A",IF(H40&lt;=31.74,"III A"))))))))</f>
        <v/>
      </c>
      <c r="K40" s="61"/>
      <c r="L40" s="292"/>
      <c r="M40" s="290">
        <v>1</v>
      </c>
      <c r="N40" s="91">
        <v>5</v>
      </c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</row>
    <row r="41" spans="1:241" s="92" customFormat="1" ht="16.350000000000001" customHeight="1">
      <c r="A41" s="51">
        <v>2</v>
      </c>
      <c r="B41" s="52">
        <v>142</v>
      </c>
      <c r="C41" s="53" t="s">
        <v>91</v>
      </c>
      <c r="D41" s="54" t="s">
        <v>189</v>
      </c>
      <c r="E41" s="55" t="s">
        <v>190</v>
      </c>
      <c r="F41" s="56" t="s">
        <v>48</v>
      </c>
      <c r="G41" s="218">
        <f>IF(ISBLANK(H41),"",TRUNC(1.962*(H41-47.5)^2))</f>
        <v>701</v>
      </c>
      <c r="H41" s="60">
        <v>28.59</v>
      </c>
      <c r="I41" s="216">
        <v>0.151</v>
      </c>
      <c r="J41" s="291" t="str">
        <f>IF(ISBLANK(H41),"",IF(H41&gt;31.74,"",IF(H41&lt;=0,"TSM",IF(H41&lt;=0,"SM",IF(H41&lt;=25.95,"KSM",IF(H41&lt;=27.35,"I A",IF(H41&lt;=29.24,"II A",IF(H41&lt;=31.74,"III A"))))))))</f>
        <v>II A</v>
      </c>
      <c r="K41" s="61" t="s">
        <v>191</v>
      </c>
      <c r="L41" s="256">
        <v>8.68</v>
      </c>
      <c r="M41" s="290">
        <v>2</v>
      </c>
      <c r="N41" s="91">
        <v>5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</row>
    <row r="42" spans="1:241" s="92" customFormat="1" ht="16.350000000000001" customHeight="1">
      <c r="A42" s="51">
        <v>3</v>
      </c>
      <c r="B42" s="52">
        <v>58</v>
      </c>
      <c r="C42" s="53" t="s">
        <v>147</v>
      </c>
      <c r="D42" s="54" t="s">
        <v>148</v>
      </c>
      <c r="E42" s="55" t="s">
        <v>149</v>
      </c>
      <c r="F42" s="56" t="s">
        <v>59</v>
      </c>
      <c r="G42" s="218">
        <f>IF(ISBLANK(H42),"",TRUNC(1.962*(H42-47.5)^2))</f>
        <v>872</v>
      </c>
      <c r="H42" s="60">
        <v>26.41</v>
      </c>
      <c r="I42" s="216">
        <v>0.20300000000000001</v>
      </c>
      <c r="J42" s="291" t="str">
        <f>IF(ISBLANK(H42),"",IF(H42&gt;31.74,"",IF(H42&lt;=0,"TSM",IF(H42&lt;=0,"SM",IF(H42&lt;=25.95,"KSM",IF(H42&lt;=27.35,"I A",IF(H42&lt;=29.24,"II A",IF(H42&lt;=31.74,"III A"))))))))</f>
        <v>I A</v>
      </c>
      <c r="K42" s="61" t="s">
        <v>150</v>
      </c>
      <c r="L42" s="256">
        <v>8.19</v>
      </c>
      <c r="M42" s="290">
        <v>3</v>
      </c>
      <c r="N42" s="91">
        <v>5</v>
      </c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</row>
    <row r="43" spans="1:241" s="92" customFormat="1" ht="16.350000000000001" customHeight="1">
      <c r="A43" s="51">
        <v>4</v>
      </c>
      <c r="B43" s="52">
        <v>12</v>
      </c>
      <c r="C43" s="53" t="s">
        <v>18</v>
      </c>
      <c r="D43" s="54" t="s">
        <v>19</v>
      </c>
      <c r="E43" s="55" t="s">
        <v>20</v>
      </c>
      <c r="F43" s="56" t="s">
        <v>21</v>
      </c>
      <c r="G43" s="218">
        <f>IF(ISBLANK(H43),"",TRUNC(1.962*(H43-47.5)^2))</f>
        <v>730</v>
      </c>
      <c r="H43" s="60">
        <v>28.2</v>
      </c>
      <c r="I43" s="216">
        <v>0.153</v>
      </c>
      <c r="J43" s="291" t="str">
        <f>IF(ISBLANK(H43),"",IF(H43&gt;31.74,"",IF(H43&lt;=0,"TSM",IF(H43&lt;=0,"SM",IF(H43&lt;=25.95,"KSM",IF(H43&lt;=27.35,"I A",IF(H43&lt;=29.24,"II A",IF(H43&lt;=31.74,"III A"))))))))</f>
        <v>II A</v>
      </c>
      <c r="K43" s="61" t="s">
        <v>22</v>
      </c>
      <c r="L43" s="256">
        <v>8.23</v>
      </c>
      <c r="M43" s="290">
        <v>4</v>
      </c>
      <c r="N43" s="91">
        <v>5</v>
      </c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FF"/>
  </sheetPr>
  <dimension ref="A1:IJ24"/>
  <sheetViews>
    <sheetView zoomScaleNormal="100" workbookViewId="0">
      <selection activeCell="A10" sqref="A10"/>
    </sheetView>
  </sheetViews>
  <sheetFormatPr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bestFit="1" customWidth="1"/>
    <col min="9" max="9" width="4.140625" style="67" customWidth="1"/>
    <col min="10" max="10" width="5.140625" style="28" customWidth="1"/>
    <col min="11" max="11" width="28.5703125" style="23" customWidth="1"/>
    <col min="12" max="12" width="5.5703125" style="192" hidden="1" customWidth="1"/>
    <col min="13" max="13" width="4.5703125" style="289" hidden="1" customWidth="1"/>
    <col min="14" max="14" width="3.140625" style="23" hidden="1" customWidth="1"/>
    <col min="15" max="243" width="9.140625" style="23"/>
    <col min="244" max="16384" width="9.140625" style="70"/>
  </cols>
  <sheetData>
    <row r="1" spans="1:244" s="2" customFormat="1" ht="18.75">
      <c r="A1" s="1" t="s">
        <v>0</v>
      </c>
      <c r="E1" s="3"/>
      <c r="F1" s="4"/>
      <c r="G1" s="5"/>
      <c r="H1" s="66"/>
      <c r="I1" s="67"/>
      <c r="J1" s="3"/>
      <c r="L1" s="190"/>
      <c r="M1" s="294"/>
      <c r="IJ1" s="70"/>
    </row>
    <row r="2" spans="1:244" s="2" customFormat="1" ht="13.5" customHeight="1">
      <c r="E2" s="3"/>
      <c r="F2" s="4"/>
      <c r="G2" s="5"/>
      <c r="H2" s="66"/>
      <c r="I2" s="67"/>
      <c r="J2" s="3"/>
      <c r="K2" s="11" t="s">
        <v>1</v>
      </c>
      <c r="L2" s="190"/>
      <c r="M2" s="294"/>
      <c r="IJ2" s="70"/>
    </row>
    <row r="3" spans="1:244" s="12" customFormat="1" ht="4.5" customHeight="1">
      <c r="C3" s="13"/>
      <c r="E3" s="14"/>
      <c r="F3" s="15"/>
      <c r="G3" s="71"/>
      <c r="H3" s="72"/>
      <c r="I3" s="73"/>
      <c r="J3" s="74"/>
      <c r="K3" s="20"/>
      <c r="L3" s="192"/>
      <c r="M3" s="289"/>
    </row>
    <row r="4" spans="1:244" ht="15.75">
      <c r="C4" s="24" t="s">
        <v>500</v>
      </c>
      <c r="E4" s="25"/>
      <c r="F4" s="26"/>
      <c r="K4" s="29" t="s">
        <v>3</v>
      </c>
    </row>
    <row r="5" spans="1:244" s="12" customFormat="1" ht="6" customHeight="1">
      <c r="E5" s="36"/>
      <c r="F5" s="37"/>
      <c r="G5" s="71"/>
      <c r="H5" s="77"/>
      <c r="I5" s="73"/>
      <c r="J5" s="74"/>
      <c r="K5" s="20"/>
      <c r="L5" s="192"/>
      <c r="M5" s="289"/>
    </row>
    <row r="6" spans="1:244" s="12" customFormat="1" ht="12.75" customHeight="1">
      <c r="C6" s="23"/>
      <c r="D6" s="33"/>
      <c r="E6" s="34" t="s">
        <v>205</v>
      </c>
      <c r="F6" s="35"/>
      <c r="G6" s="71"/>
      <c r="H6" s="72"/>
      <c r="I6" s="73"/>
      <c r="J6" s="74"/>
      <c r="K6" s="20"/>
      <c r="L6" s="192"/>
      <c r="M6" s="289"/>
    </row>
    <row r="7" spans="1:244" s="12" customFormat="1" ht="6" customHeight="1">
      <c r="E7" s="36"/>
      <c r="F7" s="37"/>
      <c r="G7" s="71"/>
      <c r="H7" s="77"/>
      <c r="I7" s="73"/>
      <c r="J7" s="74"/>
      <c r="K7" s="20"/>
      <c r="L7" s="192"/>
      <c r="M7" s="289"/>
    </row>
    <row r="8" spans="1:244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192" t="s">
        <v>17</v>
      </c>
      <c r="M8" s="293" t="s">
        <v>5</v>
      </c>
    </row>
    <row r="9" spans="1:244" s="92" customFormat="1" ht="16.350000000000001" customHeight="1">
      <c r="A9" s="51">
        <v>1</v>
      </c>
      <c r="B9" s="52">
        <v>60</v>
      </c>
      <c r="C9" s="53" t="s">
        <v>499</v>
      </c>
      <c r="D9" s="54" t="s">
        <v>498</v>
      </c>
      <c r="E9" s="55" t="s">
        <v>497</v>
      </c>
      <c r="F9" s="56" t="s">
        <v>236</v>
      </c>
      <c r="G9" s="218">
        <f t="shared" ref="G9:G22" si="0">IF(ISBLANK(H9),"",TRUNC(1.962*(H9-47.5)^2))</f>
        <v>980</v>
      </c>
      <c r="H9" s="60">
        <v>25.15</v>
      </c>
      <c r="I9" s="216">
        <v>0.28799999999999998</v>
      </c>
      <c r="J9" s="291" t="str">
        <f t="shared" ref="J9:J24" si="1">IF(ISBLANK(H9),"",IF(H9&gt;31.74,"",IF(H9&lt;=0,"TSM",IF(H9&lt;=0,"SM",IF(H9&lt;=25.95,"KSM",IF(H9&lt;=27.35,"I A",IF(H9&lt;=29.24,"II A",IF(H9&lt;=31.74,"III A"))))))))</f>
        <v>KSM</v>
      </c>
      <c r="K9" s="61" t="s">
        <v>496</v>
      </c>
      <c r="L9" s="292" t="s">
        <v>495</v>
      </c>
      <c r="M9" s="290">
        <v>4</v>
      </c>
      <c r="N9" s="91">
        <v>4</v>
      </c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</row>
    <row r="10" spans="1:244" s="92" customFormat="1" ht="16.350000000000001" customHeight="1">
      <c r="A10" s="51">
        <v>2</v>
      </c>
      <c r="B10" s="52">
        <v>9</v>
      </c>
      <c r="C10" s="53" t="s">
        <v>18</v>
      </c>
      <c r="D10" s="54" t="s">
        <v>151</v>
      </c>
      <c r="E10" s="55" t="s">
        <v>152</v>
      </c>
      <c r="F10" s="56" t="s">
        <v>21</v>
      </c>
      <c r="G10" s="218">
        <f t="shared" si="0"/>
        <v>959</v>
      </c>
      <c r="H10" s="60">
        <v>25.38</v>
      </c>
      <c r="I10" s="216">
        <v>0.255</v>
      </c>
      <c r="J10" s="291" t="str">
        <f t="shared" si="1"/>
        <v>KSM</v>
      </c>
      <c r="K10" s="61" t="s">
        <v>153</v>
      </c>
      <c r="L10" s="256">
        <v>7.7</v>
      </c>
      <c r="M10" s="290">
        <v>3</v>
      </c>
      <c r="N10" s="91">
        <v>4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</row>
    <row r="11" spans="1:244" s="92" customFormat="1" ht="16.350000000000001" customHeight="1">
      <c r="A11" s="51">
        <v>3</v>
      </c>
      <c r="B11" s="52">
        <v>54</v>
      </c>
      <c r="C11" s="53" t="s">
        <v>34</v>
      </c>
      <c r="D11" s="54" t="s">
        <v>35</v>
      </c>
      <c r="E11" s="55" t="s">
        <v>36</v>
      </c>
      <c r="F11" s="56" t="s">
        <v>26</v>
      </c>
      <c r="G11" s="218">
        <f t="shared" si="0"/>
        <v>904</v>
      </c>
      <c r="H11" s="60">
        <v>26.03</v>
      </c>
      <c r="I11" s="216">
        <v>0.16</v>
      </c>
      <c r="J11" s="291" t="str">
        <f t="shared" si="1"/>
        <v>I A</v>
      </c>
      <c r="K11" s="61" t="s">
        <v>37</v>
      </c>
      <c r="L11" s="292"/>
      <c r="M11" s="290">
        <v>3</v>
      </c>
      <c r="N11" s="91">
        <v>2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</row>
    <row r="12" spans="1:244" s="92" customFormat="1" ht="16.350000000000001" customHeight="1">
      <c r="A12" s="51">
        <v>4</v>
      </c>
      <c r="B12" s="52">
        <v>58</v>
      </c>
      <c r="C12" s="53" t="s">
        <v>147</v>
      </c>
      <c r="D12" s="54" t="s">
        <v>148</v>
      </c>
      <c r="E12" s="55" t="s">
        <v>149</v>
      </c>
      <c r="F12" s="56" t="s">
        <v>59</v>
      </c>
      <c r="G12" s="218">
        <f t="shared" si="0"/>
        <v>872</v>
      </c>
      <c r="H12" s="60">
        <v>26.41</v>
      </c>
      <c r="I12" s="216">
        <v>0.20300000000000001</v>
      </c>
      <c r="J12" s="291" t="str">
        <f t="shared" si="1"/>
        <v>I A</v>
      </c>
      <c r="K12" s="61" t="s">
        <v>150</v>
      </c>
      <c r="L12" s="256">
        <v>8.19</v>
      </c>
      <c r="M12" s="290">
        <v>3</v>
      </c>
      <c r="N12" s="91">
        <v>5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</row>
    <row r="13" spans="1:244" s="92" customFormat="1" ht="16.350000000000001" customHeight="1">
      <c r="A13" s="51">
        <v>5</v>
      </c>
      <c r="B13" s="52">
        <v>171</v>
      </c>
      <c r="C13" s="53" t="s">
        <v>38</v>
      </c>
      <c r="D13" s="54" t="s">
        <v>39</v>
      </c>
      <c r="E13" s="55" t="s">
        <v>40</v>
      </c>
      <c r="F13" s="56" t="s">
        <v>41</v>
      </c>
      <c r="G13" s="218">
        <f t="shared" si="0"/>
        <v>871</v>
      </c>
      <c r="H13" s="60">
        <v>26.43</v>
      </c>
      <c r="I13" s="216">
        <v>0.16</v>
      </c>
      <c r="J13" s="291" t="str">
        <f t="shared" si="1"/>
        <v>I A</v>
      </c>
      <c r="K13" s="61" t="s">
        <v>42</v>
      </c>
      <c r="L13" s="292"/>
      <c r="M13" s="290">
        <v>2</v>
      </c>
      <c r="N13" s="91">
        <v>4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</row>
    <row r="14" spans="1:244" s="92" customFormat="1" ht="16.350000000000001" customHeight="1">
      <c r="A14" s="51">
        <v>6</v>
      </c>
      <c r="B14" s="52">
        <v>13</v>
      </c>
      <c r="C14" s="53" t="s">
        <v>192</v>
      </c>
      <c r="D14" s="54" t="s">
        <v>193</v>
      </c>
      <c r="E14" s="55" t="s">
        <v>194</v>
      </c>
      <c r="F14" s="56" t="s">
        <v>21</v>
      </c>
      <c r="G14" s="218">
        <f t="shared" si="0"/>
        <v>829</v>
      </c>
      <c r="H14" s="60">
        <v>26.94</v>
      </c>
      <c r="I14" s="216">
        <v>0.27400000000000002</v>
      </c>
      <c r="J14" s="291" t="str">
        <f t="shared" si="1"/>
        <v>I A</v>
      </c>
      <c r="K14" s="61" t="s">
        <v>195</v>
      </c>
      <c r="L14" s="256">
        <v>8.02</v>
      </c>
      <c r="M14" s="290">
        <v>4</v>
      </c>
      <c r="N14" s="91">
        <v>3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</row>
    <row r="15" spans="1:244" s="92" customFormat="1" ht="16.350000000000001" customHeight="1">
      <c r="A15" s="51">
        <v>7</v>
      </c>
      <c r="B15" s="52">
        <v>34</v>
      </c>
      <c r="C15" s="53" t="s">
        <v>185</v>
      </c>
      <c r="D15" s="54" t="s">
        <v>186</v>
      </c>
      <c r="E15" s="55" t="s">
        <v>187</v>
      </c>
      <c r="F15" s="56" t="s">
        <v>21</v>
      </c>
      <c r="G15" s="218">
        <f t="shared" si="0"/>
        <v>828</v>
      </c>
      <c r="H15" s="60">
        <v>26.95</v>
      </c>
      <c r="I15" s="216">
        <v>0.24199999999999999</v>
      </c>
      <c r="J15" s="291" t="str">
        <f t="shared" si="1"/>
        <v>I A</v>
      </c>
      <c r="K15" s="61" t="s">
        <v>188</v>
      </c>
      <c r="L15" s="256">
        <v>8.35</v>
      </c>
      <c r="M15" s="290">
        <v>2</v>
      </c>
      <c r="N15" s="91">
        <v>2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</row>
    <row r="16" spans="1:244" s="92" customFormat="1" ht="16.350000000000001" customHeight="1">
      <c r="A16" s="51">
        <v>8</v>
      </c>
      <c r="B16" s="52">
        <v>2</v>
      </c>
      <c r="C16" s="53" t="s">
        <v>178</v>
      </c>
      <c r="D16" s="54" t="s">
        <v>179</v>
      </c>
      <c r="E16" s="55" t="s">
        <v>180</v>
      </c>
      <c r="F16" s="56" t="s">
        <v>21</v>
      </c>
      <c r="G16" s="218">
        <f t="shared" si="0"/>
        <v>766</v>
      </c>
      <c r="H16" s="60">
        <v>27.74</v>
      </c>
      <c r="I16" s="216">
        <v>0.23300000000000001</v>
      </c>
      <c r="J16" s="291" t="str">
        <f t="shared" si="1"/>
        <v>II A</v>
      </c>
      <c r="K16" s="61" t="s">
        <v>181</v>
      </c>
      <c r="L16" s="292"/>
      <c r="M16" s="290">
        <v>4</v>
      </c>
      <c r="N16" s="91">
        <v>2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</row>
    <row r="17" spans="1:241" s="92" customFormat="1" ht="16.350000000000001" customHeight="1">
      <c r="A17" s="51">
        <v>9</v>
      </c>
      <c r="B17" s="52">
        <v>33</v>
      </c>
      <c r="C17" s="53" t="s">
        <v>175</v>
      </c>
      <c r="D17" s="54" t="s">
        <v>176</v>
      </c>
      <c r="E17" s="55" t="s">
        <v>177</v>
      </c>
      <c r="F17" s="56" t="s">
        <v>26</v>
      </c>
      <c r="G17" s="218">
        <f t="shared" si="0"/>
        <v>758</v>
      </c>
      <c r="H17" s="60">
        <v>27.84</v>
      </c>
      <c r="I17" s="216">
        <v>0.36299999999999999</v>
      </c>
      <c r="J17" s="291" t="str">
        <f t="shared" si="1"/>
        <v>II A</v>
      </c>
      <c r="K17" s="61" t="s">
        <v>27</v>
      </c>
      <c r="L17" s="256">
        <v>8.35</v>
      </c>
      <c r="M17" s="290">
        <v>3</v>
      </c>
      <c r="N17" s="91">
        <v>1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</row>
    <row r="18" spans="1:241" s="92" customFormat="1" ht="16.350000000000001" customHeight="1">
      <c r="A18" s="51">
        <v>10</v>
      </c>
      <c r="B18" s="52">
        <v>12</v>
      </c>
      <c r="C18" s="53" t="s">
        <v>18</v>
      </c>
      <c r="D18" s="54" t="s">
        <v>19</v>
      </c>
      <c r="E18" s="55" t="s">
        <v>20</v>
      </c>
      <c r="F18" s="56" t="s">
        <v>21</v>
      </c>
      <c r="G18" s="218">
        <f t="shared" si="0"/>
        <v>730</v>
      </c>
      <c r="H18" s="60">
        <v>28.2</v>
      </c>
      <c r="I18" s="216">
        <v>0.153</v>
      </c>
      <c r="J18" s="291" t="str">
        <f t="shared" si="1"/>
        <v>II A</v>
      </c>
      <c r="K18" s="61" t="s">
        <v>22</v>
      </c>
      <c r="L18" s="256">
        <v>8.23</v>
      </c>
      <c r="M18" s="290">
        <v>4</v>
      </c>
      <c r="N18" s="91">
        <v>5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</row>
    <row r="19" spans="1:241" s="92" customFormat="1" ht="16.350000000000001" customHeight="1">
      <c r="A19" s="51">
        <v>11</v>
      </c>
      <c r="B19" s="52">
        <v>142</v>
      </c>
      <c r="C19" s="53" t="s">
        <v>91</v>
      </c>
      <c r="D19" s="54" t="s">
        <v>189</v>
      </c>
      <c r="E19" s="55" t="s">
        <v>190</v>
      </c>
      <c r="F19" s="56" t="s">
        <v>48</v>
      </c>
      <c r="G19" s="218">
        <f t="shared" si="0"/>
        <v>701</v>
      </c>
      <c r="H19" s="60">
        <v>28.59</v>
      </c>
      <c r="I19" s="216">
        <v>0.151</v>
      </c>
      <c r="J19" s="291" t="str">
        <f t="shared" si="1"/>
        <v>II A</v>
      </c>
      <c r="K19" s="61" t="s">
        <v>191</v>
      </c>
      <c r="L19" s="256">
        <v>8.68</v>
      </c>
      <c r="M19" s="290">
        <v>2</v>
      </c>
      <c r="N19" s="91">
        <v>5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</row>
    <row r="20" spans="1:241" s="92" customFormat="1" ht="16.350000000000001" customHeight="1">
      <c r="A20" s="51">
        <v>12</v>
      </c>
      <c r="B20" s="52">
        <v>158</v>
      </c>
      <c r="C20" s="53" t="s">
        <v>341</v>
      </c>
      <c r="D20" s="54" t="s">
        <v>342</v>
      </c>
      <c r="E20" s="55" t="s">
        <v>343</v>
      </c>
      <c r="F20" s="56" t="s">
        <v>48</v>
      </c>
      <c r="G20" s="218">
        <f t="shared" si="0"/>
        <v>659</v>
      </c>
      <c r="H20" s="60">
        <v>29.16</v>
      </c>
      <c r="I20" s="216">
        <v>0.216</v>
      </c>
      <c r="J20" s="291" t="str">
        <f t="shared" si="1"/>
        <v>II A</v>
      </c>
      <c r="K20" s="61" t="s">
        <v>263</v>
      </c>
      <c r="L20" s="292"/>
      <c r="M20" s="290">
        <v>2</v>
      </c>
      <c r="N20" s="91">
        <v>1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</row>
    <row r="21" spans="1:241" s="92" customFormat="1" ht="16.350000000000001" customHeight="1">
      <c r="A21" s="51">
        <v>13</v>
      </c>
      <c r="B21" s="52">
        <v>16</v>
      </c>
      <c r="C21" s="53" t="s">
        <v>200</v>
      </c>
      <c r="D21" s="54" t="s">
        <v>201</v>
      </c>
      <c r="E21" s="55" t="s">
        <v>202</v>
      </c>
      <c r="F21" s="56" t="s">
        <v>21</v>
      </c>
      <c r="G21" s="218">
        <f t="shared" si="0"/>
        <v>599</v>
      </c>
      <c r="H21" s="60">
        <v>30.02</v>
      </c>
      <c r="I21" s="216">
        <v>0.23100000000000001</v>
      </c>
      <c r="J21" s="291" t="str">
        <f t="shared" si="1"/>
        <v>III A</v>
      </c>
      <c r="K21" s="61" t="s">
        <v>203</v>
      </c>
      <c r="L21" s="256">
        <v>9.02</v>
      </c>
      <c r="M21" s="290">
        <v>2</v>
      </c>
      <c r="N21" s="91">
        <v>3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</row>
    <row r="22" spans="1:241" s="92" customFormat="1" ht="16.350000000000001" customHeight="1">
      <c r="A22" s="51">
        <v>14</v>
      </c>
      <c r="B22" s="52">
        <v>136</v>
      </c>
      <c r="C22" s="53" t="s">
        <v>166</v>
      </c>
      <c r="D22" s="54" t="s">
        <v>170</v>
      </c>
      <c r="E22" s="55" t="s">
        <v>171</v>
      </c>
      <c r="F22" s="56" t="s">
        <v>172</v>
      </c>
      <c r="G22" s="218">
        <f t="shared" si="0"/>
        <v>362</v>
      </c>
      <c r="H22" s="60">
        <v>33.909999999999997</v>
      </c>
      <c r="I22" s="216">
        <v>0.37</v>
      </c>
      <c r="J22" s="291" t="str">
        <f t="shared" si="1"/>
        <v/>
      </c>
      <c r="K22" s="61" t="s">
        <v>174</v>
      </c>
      <c r="L22" s="292" t="s">
        <v>28</v>
      </c>
      <c r="M22" s="290">
        <v>1</v>
      </c>
      <c r="N22" s="91">
        <v>1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</row>
    <row r="23" spans="1:241" s="92" customFormat="1" ht="16.350000000000001" customHeight="1">
      <c r="A23" s="51" t="s">
        <v>73</v>
      </c>
      <c r="B23" s="52">
        <v>107</v>
      </c>
      <c r="C23" s="53" t="s">
        <v>142</v>
      </c>
      <c r="D23" s="54" t="s">
        <v>143</v>
      </c>
      <c r="E23" s="55" t="s">
        <v>144</v>
      </c>
      <c r="F23" s="56" t="s">
        <v>145</v>
      </c>
      <c r="G23" s="218" t="s">
        <v>73</v>
      </c>
      <c r="H23" s="60">
        <v>27.03</v>
      </c>
      <c r="I23" s="216">
        <v>0.20599999999999999</v>
      </c>
      <c r="J23" s="291" t="str">
        <f t="shared" si="1"/>
        <v>I A</v>
      </c>
      <c r="K23" s="61" t="s">
        <v>146</v>
      </c>
      <c r="L23" s="292"/>
      <c r="M23" s="290">
        <v>4</v>
      </c>
      <c r="N23" s="91">
        <v>1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</row>
    <row r="24" spans="1:241" s="92" customFormat="1" ht="16.350000000000001" customHeight="1">
      <c r="A24" s="51"/>
      <c r="B24" s="52">
        <v>25</v>
      </c>
      <c r="C24" s="53" t="s">
        <v>196</v>
      </c>
      <c r="D24" s="54" t="s">
        <v>197</v>
      </c>
      <c r="E24" s="55" t="s">
        <v>198</v>
      </c>
      <c r="F24" s="56" t="s">
        <v>26</v>
      </c>
      <c r="G24" s="218"/>
      <c r="H24" s="60" t="s">
        <v>72</v>
      </c>
      <c r="I24" s="216"/>
      <c r="J24" s="291" t="str">
        <f t="shared" si="1"/>
        <v/>
      </c>
      <c r="K24" s="61" t="s">
        <v>199</v>
      </c>
      <c r="L24" s="256">
        <v>7.92</v>
      </c>
      <c r="M24" s="290">
        <v>3</v>
      </c>
      <c r="N24" s="91">
        <v>3</v>
      </c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CCFF"/>
  </sheetPr>
  <dimension ref="A1:IK60"/>
  <sheetViews>
    <sheetView zoomScaleNormal="100" workbookViewId="0">
      <selection activeCell="A10" sqref="A10"/>
    </sheetView>
  </sheetViews>
  <sheetFormatPr defaultColWidth="8.85546875" defaultRowHeight="12.75"/>
  <cols>
    <col min="1" max="1" width="5.42578125" style="23" customWidth="1"/>
    <col min="2" max="2" width="5" style="23" customWidth="1"/>
    <col min="3" max="3" width="12" style="23" customWidth="1"/>
    <col min="4" max="4" width="16.57031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bestFit="1" customWidth="1"/>
    <col min="9" max="9" width="4.140625" style="67" customWidth="1"/>
    <col min="10" max="10" width="5.140625" style="28" customWidth="1"/>
    <col min="11" max="11" width="25" style="23" customWidth="1"/>
    <col min="12" max="12" width="6" style="296" hidden="1" customWidth="1"/>
    <col min="13" max="13" width="5.42578125" style="23" hidden="1" customWidth="1"/>
    <col min="14" max="15" width="2" style="23" hidden="1" customWidth="1"/>
    <col min="16" max="244" width="9.140625" style="23" customWidth="1"/>
    <col min="245" max="16384" width="8.85546875" style="70"/>
  </cols>
  <sheetData>
    <row r="1" spans="1:245" s="2" customFormat="1" ht="18.75">
      <c r="A1" s="1" t="s">
        <v>0</v>
      </c>
      <c r="E1" s="3"/>
      <c r="F1" s="4"/>
      <c r="G1" s="5"/>
      <c r="H1" s="66"/>
      <c r="I1" s="67"/>
      <c r="J1" s="3"/>
      <c r="L1" s="295"/>
      <c r="IK1" s="70"/>
    </row>
    <row r="2" spans="1:245" s="2" customFormat="1" ht="13.5" customHeight="1">
      <c r="E2" s="3"/>
      <c r="F2" s="4"/>
      <c r="G2" s="5"/>
      <c r="H2" s="66"/>
      <c r="I2" s="67"/>
      <c r="J2" s="3"/>
      <c r="K2" s="11" t="s">
        <v>1</v>
      </c>
      <c r="L2" s="295"/>
      <c r="IK2" s="70"/>
    </row>
    <row r="3" spans="1:245" s="12" customFormat="1" ht="4.5" customHeight="1">
      <c r="C3" s="13"/>
      <c r="E3" s="14"/>
      <c r="F3" s="15"/>
      <c r="G3" s="71"/>
      <c r="H3" s="72"/>
      <c r="I3" s="73"/>
      <c r="J3" s="74"/>
      <c r="K3" s="20"/>
      <c r="L3" s="296"/>
    </row>
    <row r="4" spans="1:245" ht="15.75">
      <c r="C4" s="24" t="s">
        <v>501</v>
      </c>
      <c r="E4" s="25"/>
      <c r="F4" s="26"/>
      <c r="K4" s="29" t="s">
        <v>3</v>
      </c>
    </row>
    <row r="5" spans="1:245" s="12" customFormat="1" ht="4.5" customHeight="1">
      <c r="C5" s="13"/>
      <c r="E5" s="14"/>
      <c r="F5" s="15"/>
      <c r="G5" s="71"/>
      <c r="H5" s="72"/>
      <c r="I5" s="73"/>
      <c r="J5" s="74"/>
      <c r="K5" s="20"/>
      <c r="L5" s="296"/>
    </row>
    <row r="6" spans="1:245" s="12" customFormat="1" ht="12.75" customHeight="1">
      <c r="C6" s="23"/>
      <c r="D6" s="33">
        <v>1</v>
      </c>
      <c r="E6" s="34" t="s">
        <v>523</v>
      </c>
      <c r="F6" s="35"/>
      <c r="G6" s="71"/>
      <c r="H6" s="72"/>
      <c r="I6" s="73"/>
      <c r="J6" s="74"/>
      <c r="K6" s="20"/>
      <c r="L6" s="296"/>
    </row>
    <row r="7" spans="1:245" s="12" customFormat="1" ht="6" customHeight="1">
      <c r="E7" s="36"/>
      <c r="F7" s="37"/>
      <c r="G7" s="71"/>
      <c r="H7" s="77"/>
      <c r="I7" s="73"/>
      <c r="J7" s="74"/>
      <c r="K7" s="20"/>
      <c r="L7" s="296"/>
    </row>
    <row r="8" spans="1:245" ht="11.25" customHeight="1">
      <c r="A8" s="39" t="s">
        <v>5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296" t="s">
        <v>502</v>
      </c>
      <c r="M8" s="23">
        <v>2017</v>
      </c>
    </row>
    <row r="9" spans="1:245" s="92" customFormat="1" ht="16.350000000000001" customHeight="1">
      <c r="A9" s="51">
        <v>1</v>
      </c>
      <c r="B9" s="52"/>
      <c r="C9" s="53"/>
      <c r="D9" s="54"/>
      <c r="E9" s="55"/>
      <c r="F9" s="84"/>
      <c r="G9" s="85" t="str">
        <f>IF(ISBLANK(H9),"",TRUNC(5.04*(H9-36)^2))</f>
        <v/>
      </c>
      <c r="H9" s="88"/>
      <c r="I9" s="87"/>
      <c r="J9" s="291" t="str">
        <f>IF(ISBLANK(H9),"",IF(H9&gt;27,"",IF(H9&lt;=0,"TSM",IF(H9&lt;=0,"SM",IF(H9&lt;=22.75,"KSM",IF(H9&lt;=23.7,"I A",IF(H9&lt;=25,"II A",IF(H9&lt;=27,"III A"))))))))</f>
        <v/>
      </c>
      <c r="K9" s="61"/>
      <c r="L9" s="298"/>
      <c r="M9" s="299"/>
      <c r="N9" s="91">
        <v>1</v>
      </c>
      <c r="O9" s="91">
        <v>1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</row>
    <row r="10" spans="1:245" s="92" customFormat="1" ht="16.350000000000001" customHeight="1">
      <c r="A10" s="51">
        <v>2</v>
      </c>
      <c r="B10" s="52">
        <v>55</v>
      </c>
      <c r="C10" s="53" t="s">
        <v>364</v>
      </c>
      <c r="D10" s="54" t="s">
        <v>365</v>
      </c>
      <c r="E10" s="55" t="s">
        <v>366</v>
      </c>
      <c r="F10" s="84" t="s">
        <v>59</v>
      </c>
      <c r="G10" s="85"/>
      <c r="H10" s="88" t="s">
        <v>72</v>
      </c>
      <c r="I10" s="87"/>
      <c r="J10" s="291" t="str">
        <f>IF(ISBLANK(H10),"",IF(H10&gt;27,"",IF(H10&lt;=0,"TSM",IF(H10&lt;=0,"SM",IF(H10&lt;=22.75,"KSM",IF(H10&lt;=23.7,"I A",IF(H10&lt;=25,"II A",IF(H10&lt;=27,"III A"))))))))</f>
        <v/>
      </c>
      <c r="K10" s="61" t="s">
        <v>367</v>
      </c>
      <c r="L10" s="298"/>
      <c r="M10" s="299"/>
      <c r="N10" s="91">
        <v>2</v>
      </c>
      <c r="O10" s="91">
        <v>1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</row>
    <row r="11" spans="1:245" s="92" customFormat="1" ht="16.350000000000001" customHeight="1">
      <c r="A11" s="51">
        <v>3</v>
      </c>
      <c r="B11" s="52">
        <v>72</v>
      </c>
      <c r="C11" s="53" t="s">
        <v>402</v>
      </c>
      <c r="D11" s="54" t="s">
        <v>403</v>
      </c>
      <c r="E11" s="55" t="s">
        <v>404</v>
      </c>
      <c r="F11" s="84" t="s">
        <v>117</v>
      </c>
      <c r="G11" s="85"/>
      <c r="H11" s="88" t="s">
        <v>72</v>
      </c>
      <c r="I11" s="87"/>
      <c r="J11" s="291" t="str">
        <f>IF(ISBLANK(H11),"",IF(H11&gt;27,"",IF(H11&lt;=0,"TSM",IF(H11&lt;=0,"SM",IF(H11&lt;=22.75,"KSM",IF(H11&lt;=23.7,"I A",IF(H11&lt;=25,"II A",IF(H11&lt;=27,"III A"))))))))</f>
        <v/>
      </c>
      <c r="K11" s="61" t="s">
        <v>169</v>
      </c>
      <c r="L11" s="298">
        <v>7.83</v>
      </c>
      <c r="M11" s="299"/>
      <c r="N11" s="91">
        <v>3</v>
      </c>
      <c r="O11" s="91">
        <v>1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</row>
    <row r="12" spans="1:245" s="92" customFormat="1" ht="16.350000000000001" customHeight="1">
      <c r="A12" s="51">
        <v>4</v>
      </c>
      <c r="B12" s="52">
        <v>61</v>
      </c>
      <c r="C12" s="53" t="s">
        <v>405</v>
      </c>
      <c r="D12" s="54" t="s">
        <v>406</v>
      </c>
      <c r="E12" s="55" t="s">
        <v>407</v>
      </c>
      <c r="F12" s="84" t="s">
        <v>236</v>
      </c>
      <c r="G12" s="85"/>
      <c r="H12" s="88" t="s">
        <v>72</v>
      </c>
      <c r="I12" s="87"/>
      <c r="J12" s="291" t="str">
        <f>IF(ISBLANK(H12),"",IF(H12&gt;27,"",IF(H12&lt;=0,"TSM",IF(H12&lt;=0,"SM",IF(H12&lt;=22.75,"KSM",IF(H12&lt;=23.7,"I A",IF(H12&lt;=25,"II A",IF(H12&lt;=27,"III A"))))))))</f>
        <v/>
      </c>
      <c r="K12" s="61" t="s">
        <v>408</v>
      </c>
      <c r="L12" s="298" t="s">
        <v>28</v>
      </c>
      <c r="M12" s="297">
        <v>25.58</v>
      </c>
      <c r="N12" s="91">
        <v>4</v>
      </c>
      <c r="O12" s="91">
        <v>1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</row>
    <row r="13" spans="1:245" s="12" customFormat="1" ht="4.5" customHeight="1">
      <c r="C13" s="13"/>
      <c r="E13" s="14"/>
      <c r="F13" s="15"/>
      <c r="G13" s="71"/>
      <c r="H13" s="72"/>
      <c r="I13" s="73"/>
      <c r="J13" s="74"/>
      <c r="K13" s="20"/>
      <c r="L13" s="296"/>
    </row>
    <row r="14" spans="1:245" s="12" customFormat="1" ht="12.75" customHeight="1">
      <c r="C14" s="23"/>
      <c r="D14" s="33">
        <v>2</v>
      </c>
      <c r="E14" s="34" t="s">
        <v>523</v>
      </c>
      <c r="F14" s="35"/>
      <c r="G14" s="71"/>
      <c r="H14" s="72"/>
      <c r="I14" s="73"/>
      <c r="J14" s="74"/>
      <c r="K14" s="20"/>
      <c r="L14" s="296"/>
    </row>
    <row r="15" spans="1:245" s="12" customFormat="1" ht="6" customHeight="1">
      <c r="E15" s="36"/>
      <c r="F15" s="37"/>
      <c r="G15" s="71"/>
      <c r="H15" s="77"/>
      <c r="I15" s="73"/>
      <c r="J15" s="74"/>
      <c r="K15" s="20"/>
      <c r="L15" s="296"/>
    </row>
    <row r="16" spans="1:245" ht="11.25" customHeight="1">
      <c r="A16" s="39" t="s">
        <v>5</v>
      </c>
      <c r="B16" s="39" t="s">
        <v>6</v>
      </c>
      <c r="C16" s="41" t="s">
        <v>7</v>
      </c>
      <c r="D16" s="42" t="s">
        <v>8</v>
      </c>
      <c r="E16" s="80" t="s">
        <v>9</v>
      </c>
      <c r="F16" s="44" t="s">
        <v>10</v>
      </c>
      <c r="G16" s="45" t="s">
        <v>11</v>
      </c>
      <c r="H16" s="81" t="s">
        <v>12</v>
      </c>
      <c r="I16" s="82" t="s">
        <v>13</v>
      </c>
      <c r="J16" s="48" t="s">
        <v>15</v>
      </c>
      <c r="K16" s="39" t="s">
        <v>16</v>
      </c>
      <c r="L16" s="296" t="s">
        <v>502</v>
      </c>
      <c r="M16" s="23">
        <v>2017</v>
      </c>
    </row>
    <row r="17" spans="1:241" s="92" customFormat="1" ht="16.350000000000001" customHeight="1">
      <c r="A17" s="51">
        <v>1</v>
      </c>
      <c r="B17" s="52"/>
      <c r="C17" s="53"/>
      <c r="D17" s="54"/>
      <c r="E17" s="55"/>
      <c r="F17" s="84"/>
      <c r="G17" s="85" t="str">
        <f>IF(ISBLANK(H17),"",TRUNC(5.04*(H17-36)^2))</f>
        <v/>
      </c>
      <c r="H17" s="88"/>
      <c r="I17" s="87"/>
      <c r="J17" s="291" t="str">
        <f>IF(ISBLANK(H17),"",IF(H17&gt;27,"",IF(H17&lt;=0,"TSM",IF(H17&lt;=0,"SM",IF(H17&lt;=22.75,"KSM",IF(H17&lt;=23.7,"I A",IF(H17&lt;=25,"II A",IF(H17&lt;=27,"III A"))))))))</f>
        <v/>
      </c>
      <c r="K17" s="61"/>
      <c r="L17" s="298"/>
      <c r="M17" s="299"/>
      <c r="N17" s="91">
        <v>1</v>
      </c>
      <c r="O17" s="91">
        <v>2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</row>
    <row r="18" spans="1:241" s="92" customFormat="1" ht="16.350000000000001" customHeight="1">
      <c r="A18" s="51">
        <v>2</v>
      </c>
      <c r="B18" s="52">
        <v>6</v>
      </c>
      <c r="C18" s="53" t="s">
        <v>298</v>
      </c>
      <c r="D18" s="54" t="s">
        <v>299</v>
      </c>
      <c r="E18" s="55" t="s">
        <v>300</v>
      </c>
      <c r="F18" s="84" t="s">
        <v>21</v>
      </c>
      <c r="G18" s="85"/>
      <c r="H18" s="88" t="s">
        <v>521</v>
      </c>
      <c r="I18" s="87"/>
      <c r="J18" s="291" t="str">
        <f>IF(ISBLANK(H18),"",IF(H18&gt;27,"",IF(H18&lt;=0,"TSM",IF(H18&lt;=0,"SM",IF(H18&lt;=22.75,"KSM",IF(H18&lt;=23.7,"I A",IF(H18&lt;=25,"II A",IF(H18&lt;=27,"III A"))))))))</f>
        <v/>
      </c>
      <c r="K18" s="61" t="s">
        <v>135</v>
      </c>
      <c r="L18" s="298"/>
      <c r="M18" s="299"/>
      <c r="N18" s="91">
        <v>2</v>
      </c>
      <c r="O18" s="91">
        <v>2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</row>
    <row r="19" spans="1:241" s="92" customFormat="1" ht="16.350000000000001" customHeight="1">
      <c r="A19" s="51">
        <v>3</v>
      </c>
      <c r="B19" s="52">
        <v>51</v>
      </c>
      <c r="C19" s="53" t="s">
        <v>56</v>
      </c>
      <c r="D19" s="54" t="s">
        <v>57</v>
      </c>
      <c r="E19" s="55" t="s">
        <v>58</v>
      </c>
      <c r="F19" s="84" t="s">
        <v>59</v>
      </c>
      <c r="G19" s="85">
        <f>IF(ISBLANK(H19),"",TRUNC(5.04*(H19-36)^2))</f>
        <v>668</v>
      </c>
      <c r="H19" s="88">
        <v>24.48</v>
      </c>
      <c r="I19" s="87">
        <v>0.155</v>
      </c>
      <c r="J19" s="291" t="str">
        <f>IF(ISBLANK(H19),"",IF(H19&gt;27,"",IF(H19&lt;=0,"TSM",IF(H19&lt;=0,"SM",IF(H19&lt;=22.75,"KSM",IF(H19&lt;=23.7,"I A",IF(H19&lt;=25,"II A",IF(H19&lt;=27,"III A"))))))))</f>
        <v>II A</v>
      </c>
      <c r="K19" s="61" t="s">
        <v>22</v>
      </c>
      <c r="L19" s="298"/>
      <c r="M19" s="297">
        <v>23.81</v>
      </c>
      <c r="N19" s="91">
        <v>3</v>
      </c>
      <c r="O19" s="91">
        <v>2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</row>
    <row r="20" spans="1:241" s="92" customFormat="1" ht="16.350000000000001" customHeight="1">
      <c r="A20" s="51">
        <v>4</v>
      </c>
      <c r="B20" s="52">
        <v>47</v>
      </c>
      <c r="C20" s="53" t="s">
        <v>316</v>
      </c>
      <c r="D20" s="54" t="s">
        <v>317</v>
      </c>
      <c r="E20" s="55" t="s">
        <v>318</v>
      </c>
      <c r="F20" s="84" t="s">
        <v>59</v>
      </c>
      <c r="G20" s="85">
        <f>IF(ISBLANK(H20),"",TRUNC(5.04*(H20-36)^2))</f>
        <v>677</v>
      </c>
      <c r="H20" s="88">
        <v>24.41</v>
      </c>
      <c r="I20" s="87">
        <v>0.186</v>
      </c>
      <c r="J20" s="291" t="str">
        <f>IF(ISBLANK(H20),"",IF(H20&gt;27,"",IF(H20&lt;=0,"TSM",IF(H20&lt;=0,"SM",IF(H20&lt;=22.75,"KSM",IF(H20&lt;=23.7,"I A",IF(H20&lt;=25,"II A",IF(H20&lt;=27,"III A"))))))))</f>
        <v>II A</v>
      </c>
      <c r="K20" s="61" t="s">
        <v>319</v>
      </c>
      <c r="L20" s="298"/>
      <c r="M20" s="297">
        <v>24.52</v>
      </c>
      <c r="N20" s="91">
        <v>4</v>
      </c>
      <c r="O20" s="91">
        <v>2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</row>
    <row r="21" spans="1:241" s="12" customFormat="1" ht="4.5" customHeight="1">
      <c r="C21" s="13"/>
      <c r="E21" s="14"/>
      <c r="F21" s="15"/>
      <c r="G21" s="71"/>
      <c r="H21" s="72"/>
      <c r="I21" s="73"/>
      <c r="J21" s="74"/>
      <c r="K21" s="20"/>
      <c r="L21" s="296"/>
    </row>
    <row r="22" spans="1:241" s="12" customFormat="1" ht="12.75" customHeight="1">
      <c r="C22" s="23"/>
      <c r="D22" s="33">
        <v>3</v>
      </c>
      <c r="E22" s="34" t="s">
        <v>523</v>
      </c>
      <c r="F22" s="35"/>
      <c r="G22" s="71"/>
      <c r="H22" s="72"/>
      <c r="I22" s="73"/>
      <c r="J22" s="74"/>
      <c r="K22" s="20"/>
      <c r="L22" s="296"/>
    </row>
    <row r="23" spans="1:241" s="12" customFormat="1" ht="6" customHeight="1">
      <c r="E23" s="36"/>
      <c r="F23" s="37"/>
      <c r="G23" s="71"/>
      <c r="H23" s="77"/>
      <c r="I23" s="73"/>
      <c r="J23" s="74"/>
      <c r="K23" s="20"/>
      <c r="L23" s="296"/>
    </row>
    <row r="24" spans="1:241" ht="11.25" customHeight="1">
      <c r="A24" s="39" t="s">
        <v>5</v>
      </c>
      <c r="B24" s="39" t="s">
        <v>6</v>
      </c>
      <c r="C24" s="41" t="s">
        <v>7</v>
      </c>
      <c r="D24" s="42" t="s">
        <v>8</v>
      </c>
      <c r="E24" s="80" t="s">
        <v>9</v>
      </c>
      <c r="F24" s="44" t="s">
        <v>10</v>
      </c>
      <c r="G24" s="45" t="s">
        <v>11</v>
      </c>
      <c r="H24" s="81" t="s">
        <v>12</v>
      </c>
      <c r="I24" s="82" t="s">
        <v>13</v>
      </c>
      <c r="J24" s="48" t="s">
        <v>15</v>
      </c>
      <c r="K24" s="39" t="s">
        <v>16</v>
      </c>
      <c r="L24" s="296" t="s">
        <v>502</v>
      </c>
      <c r="M24" s="23">
        <v>2017</v>
      </c>
    </row>
    <row r="25" spans="1:241" s="92" customFormat="1" ht="16.350000000000001" customHeight="1">
      <c r="A25" s="51">
        <v>1</v>
      </c>
      <c r="B25" s="52"/>
      <c r="C25" s="53"/>
      <c r="D25" s="54"/>
      <c r="E25" s="55"/>
      <c r="F25" s="84"/>
      <c r="G25" s="85" t="str">
        <f>IF(ISBLANK(H25),"",TRUNC(5.04*(H25-36)^2))</f>
        <v/>
      </c>
      <c r="H25" s="88"/>
      <c r="I25" s="87"/>
      <c r="J25" s="291" t="str">
        <f>IF(ISBLANK(H25),"",IF(H25&gt;27,"",IF(H25&lt;=0,"TSM",IF(H25&lt;=0,"SM",IF(H25&lt;=22.75,"KSM",IF(H25&lt;=23.7,"I A",IF(H25&lt;=25,"II A",IF(H25&lt;=27,"III A"))))))))</f>
        <v/>
      </c>
      <c r="K25" s="61"/>
      <c r="L25" s="298"/>
      <c r="M25" s="299"/>
      <c r="N25" s="91">
        <v>1</v>
      </c>
      <c r="O25" s="91">
        <v>3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</row>
    <row r="26" spans="1:241" s="92" customFormat="1" ht="16.350000000000001" customHeight="1">
      <c r="A26" s="51">
        <v>2</v>
      </c>
      <c r="B26" s="52">
        <v>22</v>
      </c>
      <c r="C26" s="53" t="s">
        <v>518</v>
      </c>
      <c r="D26" s="54" t="s">
        <v>519</v>
      </c>
      <c r="E26" s="55" t="s">
        <v>520</v>
      </c>
      <c r="F26" s="84" t="s">
        <v>145</v>
      </c>
      <c r="G26" s="85" t="s">
        <v>73</v>
      </c>
      <c r="H26" s="88">
        <v>24.86</v>
      </c>
      <c r="I26" s="87" t="s">
        <v>173</v>
      </c>
      <c r="J26" s="291" t="str">
        <f>IF(ISBLANK(H26),"",IF(H26&gt;27,"",IF(H26&lt;=0,"TSM",IF(H26&lt;=0,"SM",IF(H26&lt;=22.75,"KSM",IF(H26&lt;=23.7,"I A",IF(H26&lt;=25,"II A",IF(H26&lt;=27,"III A"))))))))</f>
        <v>II A</v>
      </c>
      <c r="K26" s="61" t="s">
        <v>513</v>
      </c>
      <c r="L26" s="298"/>
      <c r="M26" s="299"/>
      <c r="N26" s="91">
        <v>2</v>
      </c>
      <c r="O26" s="91">
        <v>3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</row>
    <row r="27" spans="1:241" s="92" customFormat="1" ht="16.350000000000001" customHeight="1">
      <c r="A27" s="51">
        <v>3</v>
      </c>
      <c r="B27" s="52">
        <v>149</v>
      </c>
      <c r="C27" s="53" t="s">
        <v>399</v>
      </c>
      <c r="D27" s="54" t="s">
        <v>400</v>
      </c>
      <c r="E27" s="55" t="s">
        <v>401</v>
      </c>
      <c r="F27" s="84" t="s">
        <v>48</v>
      </c>
      <c r="G27" s="85">
        <f>IF(ISBLANK(H27),"",TRUNC(5.04*(H27-36)^2))</f>
        <v>583</v>
      </c>
      <c r="H27" s="88">
        <v>25.24</v>
      </c>
      <c r="I27" s="87" t="s">
        <v>173</v>
      </c>
      <c r="J27" s="291" t="str">
        <f>IF(ISBLANK(H27),"",IF(H27&gt;27,"",IF(H27&lt;=0,"TSM",IF(H27&lt;=0,"SM",IF(H27&lt;=22.75,"KSM",IF(H27&lt;=23.7,"I A",IF(H27&lt;=25,"II A",IF(H27&lt;=27,"III A"))))))))</f>
        <v>III A</v>
      </c>
      <c r="K27" s="61" t="s">
        <v>263</v>
      </c>
      <c r="L27" s="199">
        <v>7.63</v>
      </c>
      <c r="M27" s="297">
        <v>24.7</v>
      </c>
      <c r="N27" s="91">
        <v>3</v>
      </c>
      <c r="O27" s="91">
        <v>3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</row>
    <row r="28" spans="1:241" s="92" customFormat="1" ht="16.350000000000001" customHeight="1">
      <c r="A28" s="51">
        <v>4</v>
      </c>
      <c r="B28" s="52">
        <v>152</v>
      </c>
      <c r="C28" s="53" t="s">
        <v>66</v>
      </c>
      <c r="D28" s="54" t="s">
        <v>67</v>
      </c>
      <c r="E28" s="55" t="s">
        <v>68</v>
      </c>
      <c r="F28" s="84" t="s">
        <v>48</v>
      </c>
      <c r="G28" s="85">
        <f>IF(ISBLANK(H28),"",TRUNC(5.04*(H28-36)^2))</f>
        <v>716</v>
      </c>
      <c r="H28" s="88">
        <v>24.08</v>
      </c>
      <c r="I28" s="87" t="s">
        <v>173</v>
      </c>
      <c r="J28" s="291" t="str">
        <f>IF(ISBLANK(H28),"",IF(H28&gt;27,"",IF(H28&lt;=0,"TSM",IF(H28&lt;=0,"SM",IF(H28&lt;=22.75,"KSM",IF(H28&lt;=23.7,"I A",IF(H28&lt;=25,"II A",IF(H28&lt;=27,"III A"))))))))</f>
        <v>II A</v>
      </c>
      <c r="K28" s="61" t="s">
        <v>69</v>
      </c>
      <c r="L28" s="298"/>
      <c r="M28" s="297">
        <v>23.43</v>
      </c>
      <c r="N28" s="91">
        <v>4</v>
      </c>
      <c r="O28" s="91">
        <v>3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</row>
    <row r="29" spans="1:241" s="12" customFormat="1" ht="4.5" customHeight="1">
      <c r="C29" s="13"/>
      <c r="E29" s="14"/>
      <c r="F29" s="15"/>
      <c r="G29" s="71"/>
      <c r="H29" s="72"/>
      <c r="I29" s="73"/>
      <c r="J29" s="74"/>
      <c r="K29" s="20"/>
      <c r="L29" s="296"/>
    </row>
    <row r="30" spans="1:241" s="12" customFormat="1" ht="12.75" customHeight="1">
      <c r="C30" s="23"/>
      <c r="D30" s="33">
        <v>4</v>
      </c>
      <c r="E30" s="34" t="s">
        <v>523</v>
      </c>
      <c r="F30" s="35"/>
      <c r="G30" s="71"/>
      <c r="H30" s="72"/>
      <c r="I30" s="73"/>
      <c r="J30" s="74"/>
      <c r="K30" s="20"/>
      <c r="L30" s="296"/>
    </row>
    <row r="31" spans="1:241" s="12" customFormat="1" ht="6" customHeight="1">
      <c r="E31" s="36"/>
      <c r="F31" s="37"/>
      <c r="G31" s="71"/>
      <c r="H31" s="77"/>
      <c r="I31" s="73"/>
      <c r="J31" s="74"/>
      <c r="K31" s="20"/>
      <c r="L31" s="296"/>
    </row>
    <row r="32" spans="1:241" ht="11.25" customHeight="1">
      <c r="A32" s="39" t="s">
        <v>5</v>
      </c>
      <c r="B32" s="39" t="s">
        <v>6</v>
      </c>
      <c r="C32" s="41" t="s">
        <v>7</v>
      </c>
      <c r="D32" s="42" t="s">
        <v>8</v>
      </c>
      <c r="E32" s="80" t="s">
        <v>9</v>
      </c>
      <c r="F32" s="44" t="s">
        <v>10</v>
      </c>
      <c r="G32" s="45" t="s">
        <v>11</v>
      </c>
      <c r="H32" s="81" t="s">
        <v>12</v>
      </c>
      <c r="I32" s="82" t="s">
        <v>13</v>
      </c>
      <c r="J32" s="48" t="s">
        <v>15</v>
      </c>
      <c r="K32" s="39" t="s">
        <v>16</v>
      </c>
      <c r="L32" s="296" t="s">
        <v>502</v>
      </c>
      <c r="M32" s="23">
        <v>2017</v>
      </c>
    </row>
    <row r="33" spans="1:241" s="92" customFormat="1" ht="16.350000000000001" customHeight="1">
      <c r="A33" s="51">
        <v>1</v>
      </c>
      <c r="B33" s="52">
        <v>120</v>
      </c>
      <c r="C33" s="53" t="s">
        <v>430</v>
      </c>
      <c r="D33" s="54" t="s">
        <v>431</v>
      </c>
      <c r="E33" s="55" t="s">
        <v>432</v>
      </c>
      <c r="F33" s="84" t="s">
        <v>172</v>
      </c>
      <c r="G33" s="85"/>
      <c r="H33" s="88" t="s">
        <v>72</v>
      </c>
      <c r="I33" s="87"/>
      <c r="J33" s="291" t="str">
        <f>IF(ISBLANK(H33),"",IF(H33&gt;27,"",IF(H33&lt;=0,"TSM",IF(H33&lt;=0,"SM",IF(H33&lt;=22.75,"KSM",IF(H33&lt;=23.7,"I A",IF(H33&lt;=25,"II A",IF(H33&lt;=27,"III A"))))))))</f>
        <v/>
      </c>
      <c r="K33" s="61" t="s">
        <v>416</v>
      </c>
      <c r="L33" s="298"/>
      <c r="M33" s="299"/>
      <c r="N33" s="91">
        <v>1</v>
      </c>
      <c r="O33" s="91">
        <v>4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</row>
    <row r="34" spans="1:241" s="92" customFormat="1" ht="16.350000000000001" customHeight="1">
      <c r="A34" s="51">
        <v>2</v>
      </c>
      <c r="B34" s="52">
        <v>48</v>
      </c>
      <c r="C34" s="53" t="s">
        <v>470</v>
      </c>
      <c r="D34" s="54" t="s">
        <v>471</v>
      </c>
      <c r="E34" s="55" t="s">
        <v>472</v>
      </c>
      <c r="F34" s="84" t="s">
        <v>59</v>
      </c>
      <c r="G34" s="85">
        <f>IF(ISBLANK(H34),"",TRUNC(5.04*(H34-36)^2))</f>
        <v>646</v>
      </c>
      <c r="H34" s="88">
        <v>24.67</v>
      </c>
      <c r="I34" s="87">
        <v>0.55900000000000005</v>
      </c>
      <c r="J34" s="291" t="str">
        <f>IF(ISBLANK(H34),"",IF(H34&gt;27,"",IF(H34&lt;=0,"TSM",IF(H34&lt;=0,"SM",IF(H34&lt;=22.75,"KSM",IF(H34&lt;=23.7,"I A",IF(H34&lt;=25,"II A",IF(H34&lt;=27,"III A"))))))))</f>
        <v>II A</v>
      </c>
      <c r="K34" s="61" t="s">
        <v>473</v>
      </c>
      <c r="L34" s="298"/>
      <c r="M34" s="299"/>
      <c r="N34" s="91">
        <v>2</v>
      </c>
      <c r="O34" s="91">
        <v>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</row>
    <row r="35" spans="1:241" s="92" customFormat="1" ht="16.350000000000001" customHeight="1">
      <c r="A35" s="51">
        <v>3</v>
      </c>
      <c r="B35" s="52">
        <v>138</v>
      </c>
      <c r="C35" s="53" t="s">
        <v>383</v>
      </c>
      <c r="D35" s="54" t="s">
        <v>384</v>
      </c>
      <c r="E35" s="55" t="s">
        <v>58</v>
      </c>
      <c r="F35" s="84" t="s">
        <v>172</v>
      </c>
      <c r="G35" s="85">
        <f>IF(ISBLANK(H35),"",TRUNC(5.04*(H35-36)^2))</f>
        <v>726</v>
      </c>
      <c r="H35" s="88">
        <v>23.99</v>
      </c>
      <c r="I35" s="87">
        <v>0.186</v>
      </c>
      <c r="J35" s="291" t="str">
        <f>IF(ISBLANK(H35),"",IF(H35&gt;27,"",IF(H35&lt;=0,"TSM",IF(H35&lt;=0,"SM",IF(H35&lt;=22.75,"KSM",IF(H35&lt;=23.7,"I A",IF(H35&lt;=25,"II A",IF(H35&lt;=27,"III A"))))))))</f>
        <v>II A</v>
      </c>
      <c r="K35" s="61" t="s">
        <v>174</v>
      </c>
      <c r="L35" s="298">
        <v>7.42</v>
      </c>
      <c r="M35" s="299"/>
      <c r="N35" s="91">
        <v>3</v>
      </c>
      <c r="O35" s="91">
        <v>4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</row>
    <row r="36" spans="1:241" s="92" customFormat="1" ht="16.350000000000001" customHeight="1">
      <c r="A36" s="51">
        <v>4</v>
      </c>
      <c r="B36" s="52">
        <v>163</v>
      </c>
      <c r="C36" s="53" t="s">
        <v>506</v>
      </c>
      <c r="D36" s="54" t="s">
        <v>507</v>
      </c>
      <c r="E36" s="55" t="s">
        <v>508</v>
      </c>
      <c r="F36" s="84" t="s">
        <v>509</v>
      </c>
      <c r="G36" s="85" t="s">
        <v>73</v>
      </c>
      <c r="H36" s="88">
        <v>23.07</v>
      </c>
      <c r="I36" s="87">
        <v>0.183</v>
      </c>
      <c r="J36" s="291" t="str">
        <f>IF(ISBLANK(H36),"",IF(H36&gt;27,"",IF(H36&lt;=0,"TSM",IF(H36&lt;=0,"SM",IF(H36&lt;=22.75,"KSM",IF(H36&lt;=23.7,"I A",IF(H36&lt;=25,"II A",IF(H36&lt;=27,"III A"))))))))</f>
        <v>I A</v>
      </c>
      <c r="K36" s="61" t="s">
        <v>510</v>
      </c>
      <c r="L36" s="298"/>
      <c r="M36" s="297">
        <v>23.29</v>
      </c>
      <c r="N36" s="91">
        <v>4</v>
      </c>
      <c r="O36" s="91">
        <v>4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</row>
    <row r="37" spans="1:241" s="12" customFormat="1" ht="4.5" customHeight="1">
      <c r="C37" s="13"/>
      <c r="E37" s="14"/>
      <c r="F37" s="15"/>
      <c r="G37" s="71"/>
      <c r="H37" s="72"/>
      <c r="I37" s="73"/>
      <c r="J37" s="74"/>
      <c r="K37" s="20"/>
      <c r="L37" s="296"/>
    </row>
    <row r="38" spans="1:241" s="12" customFormat="1" ht="12.75" customHeight="1">
      <c r="C38" s="23"/>
      <c r="D38" s="33">
        <v>5</v>
      </c>
      <c r="E38" s="34" t="s">
        <v>523</v>
      </c>
      <c r="F38" s="35"/>
      <c r="G38" s="71"/>
      <c r="H38" s="72"/>
      <c r="I38" s="73"/>
      <c r="J38" s="74"/>
      <c r="K38" s="20"/>
      <c r="L38" s="296"/>
    </row>
    <row r="39" spans="1:241" s="12" customFormat="1" ht="6" customHeight="1">
      <c r="E39" s="36"/>
      <c r="F39" s="37"/>
      <c r="G39" s="71"/>
      <c r="H39" s="77"/>
      <c r="I39" s="73"/>
      <c r="J39" s="74"/>
      <c r="K39" s="20"/>
      <c r="L39" s="296"/>
    </row>
    <row r="40" spans="1:241" ht="11.25" customHeight="1">
      <c r="A40" s="39" t="s">
        <v>5</v>
      </c>
      <c r="B40" s="39" t="s">
        <v>6</v>
      </c>
      <c r="C40" s="41" t="s">
        <v>7</v>
      </c>
      <c r="D40" s="42" t="s">
        <v>8</v>
      </c>
      <c r="E40" s="80" t="s">
        <v>9</v>
      </c>
      <c r="F40" s="44" t="s">
        <v>10</v>
      </c>
      <c r="G40" s="45" t="s">
        <v>11</v>
      </c>
      <c r="H40" s="81" t="s">
        <v>12</v>
      </c>
      <c r="I40" s="82" t="s">
        <v>13</v>
      </c>
      <c r="J40" s="48" t="s">
        <v>15</v>
      </c>
      <c r="K40" s="39" t="s">
        <v>16</v>
      </c>
      <c r="L40" s="296" t="s">
        <v>502</v>
      </c>
      <c r="M40" s="23">
        <v>2017</v>
      </c>
    </row>
    <row r="41" spans="1:241" s="92" customFormat="1" ht="16.350000000000001" customHeight="1">
      <c r="A41" s="51">
        <v>1</v>
      </c>
      <c r="B41" s="52"/>
      <c r="C41" s="53"/>
      <c r="D41" s="54"/>
      <c r="E41" s="55"/>
      <c r="F41" s="84"/>
      <c r="G41" s="85" t="str">
        <f>IF(ISBLANK(H41),"",TRUNC(5.04*(H41-36)^2))</f>
        <v/>
      </c>
      <c r="H41" s="88"/>
      <c r="I41" s="87"/>
      <c r="J41" s="291" t="str">
        <f>IF(ISBLANK(H41),"",IF(H41&gt;27,"",IF(H41&lt;=0,"TSM",IF(H41&lt;=0,"SM",IF(H41&lt;=22.75,"KSM",IF(H41&lt;=23.7,"I A",IF(H41&lt;=25,"II A",IF(H41&lt;=27,"III A"))))))))</f>
        <v/>
      </c>
      <c r="K41" s="61"/>
      <c r="L41" s="298"/>
      <c r="M41" s="299"/>
      <c r="N41" s="91">
        <v>1</v>
      </c>
      <c r="O41" s="91">
        <v>5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</row>
    <row r="42" spans="1:241" s="92" customFormat="1" ht="16.350000000000001" customHeight="1">
      <c r="A42" s="51">
        <v>2</v>
      </c>
      <c r="B42" s="52">
        <v>162</v>
      </c>
      <c r="C42" s="53" t="s">
        <v>514</v>
      </c>
      <c r="D42" s="54" t="s">
        <v>515</v>
      </c>
      <c r="E42" s="55" t="s">
        <v>516</v>
      </c>
      <c r="F42" s="84" t="s">
        <v>145</v>
      </c>
      <c r="G42" s="85" t="s">
        <v>73</v>
      </c>
      <c r="H42" s="88">
        <v>23.83</v>
      </c>
      <c r="I42" s="87">
        <v>0.16700000000000001</v>
      </c>
      <c r="J42" s="291" t="str">
        <f>IF(ISBLANK(H42),"",IF(H42&gt;27,"",IF(H42&lt;=0,"TSM",IF(H42&lt;=0,"SM",IF(H42&lt;=22.75,"KSM",IF(H42&lt;=23.7,"I A",IF(H42&lt;=25,"II A",IF(H42&lt;=27,"III A"))))))))</f>
        <v>II A</v>
      </c>
      <c r="K42" s="61" t="s">
        <v>517</v>
      </c>
      <c r="L42" s="298"/>
      <c r="M42" s="299"/>
      <c r="N42" s="91">
        <v>2</v>
      </c>
      <c r="O42" s="91">
        <v>5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</row>
    <row r="43" spans="1:241" s="92" customFormat="1" ht="16.350000000000001" customHeight="1">
      <c r="A43" s="51">
        <v>3</v>
      </c>
      <c r="B43" s="52">
        <v>53</v>
      </c>
      <c r="C43" s="53" t="s">
        <v>238</v>
      </c>
      <c r="D43" s="54" t="s">
        <v>371</v>
      </c>
      <c r="E43" s="55" t="s">
        <v>372</v>
      </c>
      <c r="F43" s="84" t="s">
        <v>59</v>
      </c>
      <c r="G43" s="85">
        <f>IF(ISBLANK(H43),"",TRUNC(5.04*(H43-36)^2))</f>
        <v>694</v>
      </c>
      <c r="H43" s="88">
        <v>24.26</v>
      </c>
      <c r="I43" s="87">
        <v>0.156</v>
      </c>
      <c r="J43" s="291" t="str">
        <f>IF(ISBLANK(H43),"",IF(H43&gt;27,"",IF(H43&lt;=0,"TSM",IF(H43&lt;=0,"SM",IF(H43&lt;=22.75,"KSM",IF(H43&lt;=23.7,"I A",IF(H43&lt;=25,"II A",IF(H43&lt;=27,"III A"))))))))</f>
        <v>II A</v>
      </c>
      <c r="K43" s="61" t="s">
        <v>367</v>
      </c>
      <c r="L43" s="199">
        <v>7.2</v>
      </c>
      <c r="M43" s="297">
        <v>23.76</v>
      </c>
      <c r="N43" s="91">
        <v>3</v>
      </c>
      <c r="O43" s="91">
        <v>5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</row>
    <row r="44" spans="1:241" s="92" customFormat="1" ht="16.350000000000001" customHeight="1">
      <c r="A44" s="51">
        <v>4</v>
      </c>
      <c r="B44" s="52">
        <v>111</v>
      </c>
      <c r="C44" s="53" t="s">
        <v>376</v>
      </c>
      <c r="D44" s="54" t="s">
        <v>377</v>
      </c>
      <c r="E44" s="55" t="s">
        <v>378</v>
      </c>
      <c r="F44" s="84" t="s">
        <v>112</v>
      </c>
      <c r="G44" s="85">
        <f>IF(ISBLANK(H44),"",TRUNC(5.04*(H44-36)^2))</f>
        <v>719</v>
      </c>
      <c r="H44" s="88">
        <v>24.05</v>
      </c>
      <c r="I44" s="87">
        <v>0.27300000000000002</v>
      </c>
      <c r="J44" s="291" t="str">
        <f>IF(ISBLANK(H44),"",IF(H44&gt;27,"",IF(H44&lt;=0,"TSM",IF(H44&lt;=0,"SM",IF(H44&lt;=22.75,"KSM",IF(H44&lt;=23.7,"I A",IF(H44&lt;=25,"II A",IF(H44&lt;=27,"III A"))))))))</f>
        <v>II A</v>
      </c>
      <c r="K44" s="61" t="s">
        <v>379</v>
      </c>
      <c r="L44" s="199">
        <v>7.37</v>
      </c>
      <c r="M44" s="299"/>
      <c r="N44" s="91">
        <v>4</v>
      </c>
      <c r="O44" s="91">
        <v>5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</row>
    <row r="45" spans="1:241" s="12" customFormat="1" ht="4.5" customHeight="1">
      <c r="C45" s="13"/>
      <c r="E45" s="14"/>
      <c r="F45" s="15"/>
      <c r="G45" s="71"/>
      <c r="H45" s="72"/>
      <c r="I45" s="73"/>
      <c r="J45" s="74"/>
      <c r="K45" s="20"/>
      <c r="L45" s="296"/>
    </row>
    <row r="46" spans="1:241" s="12" customFormat="1" ht="12.75" customHeight="1">
      <c r="C46" s="23"/>
      <c r="D46" s="33">
        <v>6</v>
      </c>
      <c r="E46" s="34" t="s">
        <v>523</v>
      </c>
      <c r="F46" s="35"/>
      <c r="G46" s="71"/>
      <c r="H46" s="72"/>
      <c r="I46" s="73"/>
      <c r="J46" s="74"/>
      <c r="K46" s="20"/>
      <c r="L46" s="296"/>
    </row>
    <row r="47" spans="1:241" s="12" customFormat="1" ht="6" customHeight="1">
      <c r="E47" s="36"/>
      <c r="F47" s="37"/>
      <c r="G47" s="71"/>
      <c r="H47" s="77"/>
      <c r="I47" s="73"/>
      <c r="J47" s="74"/>
      <c r="K47" s="20"/>
      <c r="L47" s="296"/>
    </row>
    <row r="48" spans="1:241" ht="11.25" customHeight="1">
      <c r="A48" s="39" t="s">
        <v>5</v>
      </c>
      <c r="B48" s="39" t="s">
        <v>6</v>
      </c>
      <c r="C48" s="41" t="s">
        <v>7</v>
      </c>
      <c r="D48" s="42" t="s">
        <v>8</v>
      </c>
      <c r="E48" s="80" t="s">
        <v>9</v>
      </c>
      <c r="F48" s="44" t="s">
        <v>10</v>
      </c>
      <c r="G48" s="45" t="s">
        <v>11</v>
      </c>
      <c r="H48" s="81" t="s">
        <v>12</v>
      </c>
      <c r="I48" s="82" t="s">
        <v>13</v>
      </c>
      <c r="J48" s="48" t="s">
        <v>15</v>
      </c>
      <c r="K48" s="39" t="s">
        <v>16</v>
      </c>
      <c r="L48" s="296" t="s">
        <v>502</v>
      </c>
      <c r="M48" s="23">
        <v>2017</v>
      </c>
    </row>
    <row r="49" spans="1:241" s="92" customFormat="1" ht="16.350000000000001" customHeight="1">
      <c r="A49" s="51">
        <v>1</v>
      </c>
      <c r="B49" s="52">
        <v>28</v>
      </c>
      <c r="C49" s="53" t="s">
        <v>424</v>
      </c>
      <c r="D49" s="54" t="s">
        <v>425</v>
      </c>
      <c r="E49" s="55" t="s">
        <v>426</v>
      </c>
      <c r="F49" s="84" t="s">
        <v>21</v>
      </c>
      <c r="G49" s="85"/>
      <c r="H49" s="88" t="s">
        <v>72</v>
      </c>
      <c r="I49" s="87"/>
      <c r="J49" s="291" t="str">
        <f>IF(ISBLANK(H49),"",IF(H49&gt;27,"",IF(H49&lt;=0,"TSM",IF(H49&lt;=0,"SM",IF(H49&lt;=22.75,"KSM",IF(H49&lt;=23.7,"I A",IF(H49&lt;=25,"II A",IF(H49&lt;=27,"III A"))))))))</f>
        <v/>
      </c>
      <c r="K49" s="61" t="s">
        <v>135</v>
      </c>
      <c r="L49" s="199">
        <v>7.06</v>
      </c>
      <c r="M49" s="297">
        <v>23.72</v>
      </c>
      <c r="N49" s="91">
        <v>1</v>
      </c>
      <c r="O49" s="91">
        <v>6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</row>
    <row r="50" spans="1:241" s="92" customFormat="1" ht="16.350000000000001" customHeight="1">
      <c r="A50" s="51">
        <v>2</v>
      </c>
      <c r="B50" s="52">
        <v>20</v>
      </c>
      <c r="C50" s="53" t="s">
        <v>364</v>
      </c>
      <c r="D50" s="54" t="s">
        <v>511</v>
      </c>
      <c r="E50" s="55" t="s">
        <v>512</v>
      </c>
      <c r="F50" s="84" t="s">
        <v>145</v>
      </c>
      <c r="G50" s="85" t="s">
        <v>73</v>
      </c>
      <c r="H50" s="88">
        <v>23.66</v>
      </c>
      <c r="I50" s="87">
        <v>0.11899999999999999</v>
      </c>
      <c r="J50" s="291" t="str">
        <f>IF(ISBLANK(H50),"",IF(H50&gt;27,"",IF(H50&lt;=0,"TSM",IF(H50&lt;=0,"SM",IF(H50&lt;=22.75,"KSM",IF(H50&lt;=23.7,"I A",IF(H50&lt;=25,"II A",IF(H50&lt;=27,"III A"))))))))</f>
        <v>I A</v>
      </c>
      <c r="K50" s="61" t="s">
        <v>513</v>
      </c>
      <c r="L50" s="298"/>
      <c r="M50" s="299"/>
      <c r="N50" s="91">
        <v>2</v>
      </c>
      <c r="O50" s="91">
        <v>6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</row>
    <row r="51" spans="1:241" s="92" customFormat="1" ht="16.350000000000001" customHeight="1">
      <c r="A51" s="51">
        <v>3</v>
      </c>
      <c r="B51" s="52">
        <v>147</v>
      </c>
      <c r="C51" s="53" t="s">
        <v>293</v>
      </c>
      <c r="D51" s="54" t="s">
        <v>294</v>
      </c>
      <c r="E51" s="55" t="s">
        <v>295</v>
      </c>
      <c r="F51" s="84" t="s">
        <v>48</v>
      </c>
      <c r="G51" s="85">
        <f>IF(ISBLANK(H51),"",TRUNC(5.04*(H51-36)^2))</f>
        <v>555</v>
      </c>
      <c r="H51" s="88">
        <v>25.5</v>
      </c>
      <c r="I51" s="87">
        <v>0.25900000000000001</v>
      </c>
      <c r="J51" s="291" t="str">
        <f>IF(ISBLANK(H51),"",IF(H51&gt;27,"",IF(H51&lt;=0,"TSM",IF(H51&lt;=0,"SM",IF(H51&lt;=22.75,"KSM",IF(H51&lt;=23.7,"I A",IF(H51&lt;=25,"II A",IF(H51&lt;=27,"III A"))))))))</f>
        <v>III A</v>
      </c>
      <c r="K51" s="61" t="s">
        <v>296</v>
      </c>
      <c r="L51" s="298"/>
      <c r="M51" s="299"/>
      <c r="N51" s="91">
        <v>3</v>
      </c>
      <c r="O51" s="91">
        <v>6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</row>
    <row r="52" spans="1:241" s="92" customFormat="1" ht="16.350000000000001" customHeight="1">
      <c r="A52" s="51">
        <v>4</v>
      </c>
      <c r="B52" s="52">
        <v>134</v>
      </c>
      <c r="C52" s="53" t="s">
        <v>368</v>
      </c>
      <c r="D52" s="54" t="s">
        <v>369</v>
      </c>
      <c r="E52" s="55" t="s">
        <v>370</v>
      </c>
      <c r="F52" s="84" t="s">
        <v>26</v>
      </c>
      <c r="G52" s="85"/>
      <c r="H52" s="88" t="s">
        <v>522</v>
      </c>
      <c r="I52" s="87">
        <v>0.17599999999999999</v>
      </c>
      <c r="J52" s="291" t="str">
        <f>IF(ISBLANK(H52),"",IF(H52&gt;27,"",IF(H52&lt;=0,"TSM",IF(H52&lt;=0,"SM",IF(H52&lt;=22.75,"KSM",IF(H52&lt;=23.7,"I A",IF(H52&lt;=25,"II A",IF(H52&lt;=27,"III A"))))))))</f>
        <v/>
      </c>
      <c r="K52" s="61" t="s">
        <v>169</v>
      </c>
      <c r="L52" s="199">
        <v>7.1</v>
      </c>
      <c r="M52" s="299"/>
      <c r="N52" s="91">
        <v>4</v>
      </c>
      <c r="O52" s="91">
        <v>6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</row>
    <row r="53" spans="1:241" s="12" customFormat="1" ht="4.5" customHeight="1">
      <c r="C53" s="13"/>
      <c r="E53" s="14"/>
      <c r="F53" s="15"/>
      <c r="G53" s="71"/>
      <c r="H53" s="72"/>
      <c r="I53" s="73"/>
      <c r="J53" s="74"/>
      <c r="K53" s="20"/>
      <c r="L53" s="296"/>
    </row>
    <row r="54" spans="1:241" s="12" customFormat="1" ht="12.75" customHeight="1">
      <c r="C54" s="23"/>
      <c r="D54" s="33">
        <v>7</v>
      </c>
      <c r="E54" s="34" t="s">
        <v>523</v>
      </c>
      <c r="F54" s="35"/>
      <c r="G54" s="71"/>
      <c r="H54" s="72"/>
      <c r="I54" s="73"/>
      <c r="J54" s="74"/>
      <c r="K54" s="20"/>
      <c r="L54" s="296"/>
    </row>
    <row r="55" spans="1:241" s="12" customFormat="1" ht="6" customHeight="1">
      <c r="E55" s="36"/>
      <c r="F55" s="37"/>
      <c r="G55" s="71"/>
      <c r="H55" s="77"/>
      <c r="I55" s="73"/>
      <c r="J55" s="74"/>
      <c r="K55" s="20"/>
      <c r="L55" s="296"/>
    </row>
    <row r="56" spans="1:241" ht="11.25" customHeight="1">
      <c r="A56" s="39" t="s">
        <v>5</v>
      </c>
      <c r="B56" s="39" t="s">
        <v>6</v>
      </c>
      <c r="C56" s="41" t="s">
        <v>7</v>
      </c>
      <c r="D56" s="42" t="s">
        <v>8</v>
      </c>
      <c r="E56" s="80" t="s">
        <v>9</v>
      </c>
      <c r="F56" s="44" t="s">
        <v>10</v>
      </c>
      <c r="G56" s="45" t="s">
        <v>11</v>
      </c>
      <c r="H56" s="81" t="s">
        <v>12</v>
      </c>
      <c r="I56" s="82" t="s">
        <v>13</v>
      </c>
      <c r="J56" s="48" t="s">
        <v>15</v>
      </c>
      <c r="K56" s="39" t="s">
        <v>16</v>
      </c>
      <c r="L56" s="296" t="s">
        <v>502</v>
      </c>
      <c r="M56" s="23">
        <v>2017</v>
      </c>
    </row>
    <row r="57" spans="1:241" s="92" customFormat="1" ht="16.350000000000001" customHeight="1">
      <c r="A57" s="51">
        <v>1</v>
      </c>
      <c r="B57" s="52">
        <v>137</v>
      </c>
      <c r="C57" s="53" t="s">
        <v>503</v>
      </c>
      <c r="D57" s="54" t="s">
        <v>504</v>
      </c>
      <c r="E57" s="55" t="s">
        <v>505</v>
      </c>
      <c r="F57" s="84" t="s">
        <v>172</v>
      </c>
      <c r="G57" s="85">
        <f>IF(ISBLANK(H57),"",TRUNC(5.04*(H57-36)^2))</f>
        <v>207</v>
      </c>
      <c r="H57" s="88">
        <v>29.59</v>
      </c>
      <c r="I57" s="87">
        <v>0.187</v>
      </c>
      <c r="J57" s="291" t="str">
        <f>IF(ISBLANK(H57),"",IF(H57&gt;27,"",IF(H57&lt;=0,"TSM",IF(H57&lt;=0,"SM",IF(H57&lt;=22.75,"KSM",IF(H57&lt;=23.7,"I A",IF(H57&lt;=25,"II A",IF(H57&lt;=27,"III A"))))))))</f>
        <v/>
      </c>
      <c r="K57" s="61" t="s">
        <v>174</v>
      </c>
      <c r="L57" s="298"/>
      <c r="M57" s="299"/>
      <c r="N57" s="91">
        <v>1</v>
      </c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</row>
    <row r="58" spans="1:241" s="92" customFormat="1" ht="16.350000000000001" customHeight="1">
      <c r="A58" s="51">
        <v>2</v>
      </c>
      <c r="B58" s="52">
        <v>50</v>
      </c>
      <c r="C58" s="53" t="s">
        <v>456</v>
      </c>
      <c r="D58" s="54" t="s">
        <v>457</v>
      </c>
      <c r="E58" s="55" t="s">
        <v>458</v>
      </c>
      <c r="F58" s="84" t="s">
        <v>59</v>
      </c>
      <c r="G58" s="85">
        <f>IF(ISBLANK(H58),"",TRUNC(5.04*(H58-36)^2))</f>
        <v>439</v>
      </c>
      <c r="H58" s="88">
        <v>26.66</v>
      </c>
      <c r="I58" s="87">
        <v>0.17599999999999999</v>
      </c>
      <c r="J58" s="291" t="str">
        <f>IF(ISBLANK(H58),"",IF(H58&gt;27,"",IF(H58&lt;=0,"TSM",IF(H58&lt;=0,"SM",IF(H58&lt;=22.75,"KSM",IF(H58&lt;=23.7,"I A",IF(H58&lt;=25,"II A",IF(H58&lt;=27,"III A"))))))))</f>
        <v>III A</v>
      </c>
      <c r="K58" s="61" t="s">
        <v>150</v>
      </c>
      <c r="L58" s="298" t="s">
        <v>28</v>
      </c>
      <c r="M58" s="91"/>
      <c r="N58" s="91">
        <v>2</v>
      </c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</row>
    <row r="59" spans="1:241" s="92" customFormat="1" ht="16.350000000000001" customHeight="1">
      <c r="A59" s="51">
        <v>3</v>
      </c>
      <c r="B59" s="52">
        <v>132</v>
      </c>
      <c r="C59" s="53" t="s">
        <v>227</v>
      </c>
      <c r="D59" s="54" t="s">
        <v>360</v>
      </c>
      <c r="E59" s="55" t="s">
        <v>361</v>
      </c>
      <c r="F59" s="84" t="s">
        <v>26</v>
      </c>
      <c r="G59" s="85">
        <f>IF(ISBLANK(H59),"",TRUNC(5.04*(H59-36)^2))</f>
        <v>961</v>
      </c>
      <c r="H59" s="88">
        <v>22.19</v>
      </c>
      <c r="I59" s="87">
        <v>0.15</v>
      </c>
      <c r="J59" s="291" t="str">
        <f>IF(ISBLANK(H59),"",IF(H59&gt;27,"",IF(H59&lt;=0,"TSM",IF(H59&lt;=0,"SM",IF(H59&lt;=22.75,"KSM",IF(H59&lt;=23.7,"I A",IF(H59&lt;=25,"II A",IF(H59&lt;=27,"III A"))))))))</f>
        <v>KSM</v>
      </c>
      <c r="K59" s="61" t="s">
        <v>191</v>
      </c>
      <c r="L59" s="199">
        <v>6.93</v>
      </c>
      <c r="M59" s="297">
        <v>22.06</v>
      </c>
      <c r="N59" s="91">
        <v>3</v>
      </c>
      <c r="O59" s="91">
        <v>8</v>
      </c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</row>
    <row r="60" spans="1:241" s="92" customFormat="1" ht="16.350000000000001" customHeight="1">
      <c r="A60" s="51">
        <v>4</v>
      </c>
      <c r="B60" s="52">
        <v>46</v>
      </c>
      <c r="C60" s="53" t="s">
        <v>460</v>
      </c>
      <c r="D60" s="54" t="s">
        <v>461</v>
      </c>
      <c r="E60" s="55" t="s">
        <v>370</v>
      </c>
      <c r="F60" s="84" t="s">
        <v>59</v>
      </c>
      <c r="G60" s="85">
        <f>IF(ISBLANK(H60),"",TRUNC(5.04*(H60-36)^2))</f>
        <v>649</v>
      </c>
      <c r="H60" s="88">
        <v>24.65</v>
      </c>
      <c r="I60" s="87">
        <v>0.52100000000000002</v>
      </c>
      <c r="J60" s="291" t="str">
        <f>IF(ISBLANK(H60),"",IF(H60&gt;27,"",IF(H60&lt;=0,"TSM",IF(H60&lt;=0,"SM",IF(H60&lt;=22.75,"KSM",IF(H60&lt;=23.7,"I A",IF(H60&lt;=25,"II A",IF(H60&lt;=27,"III A"))))))))</f>
        <v>II A</v>
      </c>
      <c r="K60" s="61" t="s">
        <v>319</v>
      </c>
      <c r="L60" s="199">
        <v>6.98</v>
      </c>
      <c r="M60" s="297"/>
      <c r="N60" s="91">
        <v>4</v>
      </c>
      <c r="O60" s="91">
        <v>8</v>
      </c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CCFF"/>
  </sheetPr>
  <dimension ref="A1:IK32"/>
  <sheetViews>
    <sheetView zoomScaleNormal="100" workbookViewId="0">
      <selection activeCell="A10" sqref="A10"/>
    </sheetView>
  </sheetViews>
  <sheetFormatPr defaultColWidth="8.85546875" defaultRowHeight="12.75"/>
  <cols>
    <col min="1" max="1" width="5.42578125" style="23" customWidth="1"/>
    <col min="2" max="2" width="5" style="23" customWidth="1"/>
    <col min="3" max="3" width="12" style="23" customWidth="1"/>
    <col min="4" max="4" width="16.57031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bestFit="1" customWidth="1"/>
    <col min="9" max="9" width="4.140625" style="67" customWidth="1"/>
    <col min="10" max="10" width="5.140625" style="28" customWidth="1"/>
    <col min="11" max="11" width="25" style="23" customWidth="1"/>
    <col min="12" max="12" width="6" style="296" hidden="1" customWidth="1"/>
    <col min="13" max="13" width="5.42578125" style="23" hidden="1" customWidth="1"/>
    <col min="14" max="15" width="2" style="23" hidden="1" customWidth="1"/>
    <col min="16" max="244" width="9.140625" style="23" customWidth="1"/>
    <col min="245" max="16384" width="8.85546875" style="70"/>
  </cols>
  <sheetData>
    <row r="1" spans="1:245" s="2" customFormat="1" ht="18.75">
      <c r="A1" s="1" t="s">
        <v>0</v>
      </c>
      <c r="E1" s="3"/>
      <c r="F1" s="4"/>
      <c r="G1" s="5"/>
      <c r="H1" s="66"/>
      <c r="I1" s="67"/>
      <c r="J1" s="3"/>
      <c r="L1" s="295"/>
      <c r="IK1" s="70"/>
    </row>
    <row r="2" spans="1:245" s="2" customFormat="1" ht="13.5" customHeight="1">
      <c r="E2" s="3"/>
      <c r="F2" s="4"/>
      <c r="G2" s="5"/>
      <c r="H2" s="66"/>
      <c r="I2" s="67"/>
      <c r="J2" s="3"/>
      <c r="K2" s="11" t="s">
        <v>1</v>
      </c>
      <c r="L2" s="295"/>
      <c r="IK2" s="70"/>
    </row>
    <row r="3" spans="1:245" s="12" customFormat="1" ht="4.5" customHeight="1">
      <c r="C3" s="13"/>
      <c r="E3" s="14"/>
      <c r="F3" s="15"/>
      <c r="G3" s="71"/>
      <c r="H3" s="72"/>
      <c r="I3" s="73"/>
      <c r="J3" s="74"/>
      <c r="K3" s="20"/>
      <c r="L3" s="296"/>
    </row>
    <row r="4" spans="1:245" ht="15.75">
      <c r="C4" s="24" t="s">
        <v>501</v>
      </c>
      <c r="E4" s="25"/>
      <c r="F4" s="26"/>
      <c r="K4" s="29" t="s">
        <v>3</v>
      </c>
    </row>
    <row r="5" spans="1:245" s="12" customFormat="1" ht="4.5" customHeight="1">
      <c r="C5" s="13"/>
      <c r="E5" s="14"/>
      <c r="F5" s="15"/>
      <c r="G5" s="71"/>
      <c r="H5" s="72"/>
      <c r="I5" s="73"/>
      <c r="J5" s="74"/>
      <c r="K5" s="20"/>
      <c r="L5" s="296"/>
    </row>
    <row r="6" spans="1:245" s="12" customFormat="1" ht="12.75" customHeight="1">
      <c r="C6" s="23"/>
      <c r="D6" s="33"/>
      <c r="E6" s="34" t="s">
        <v>205</v>
      </c>
      <c r="F6" s="35"/>
      <c r="G6" s="71"/>
      <c r="H6" s="72"/>
      <c r="I6" s="73"/>
      <c r="J6" s="74"/>
      <c r="K6" s="20"/>
      <c r="L6" s="296"/>
    </row>
    <row r="7" spans="1:245" s="12" customFormat="1" ht="6" customHeight="1">
      <c r="E7" s="36"/>
      <c r="F7" s="37"/>
      <c r="G7" s="71"/>
      <c r="H7" s="77"/>
      <c r="I7" s="73"/>
      <c r="J7" s="74"/>
      <c r="K7" s="20"/>
      <c r="L7" s="296"/>
    </row>
    <row r="8" spans="1:245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296" t="s">
        <v>502</v>
      </c>
      <c r="M8" s="23">
        <v>2017</v>
      </c>
    </row>
    <row r="9" spans="1:245" s="92" customFormat="1" ht="16.350000000000001" customHeight="1">
      <c r="A9" s="51">
        <v>1</v>
      </c>
      <c r="B9" s="52">
        <v>132</v>
      </c>
      <c r="C9" s="53" t="s">
        <v>227</v>
      </c>
      <c r="D9" s="54" t="s">
        <v>360</v>
      </c>
      <c r="E9" s="55" t="s">
        <v>361</v>
      </c>
      <c r="F9" s="84" t="s">
        <v>26</v>
      </c>
      <c r="G9" s="85">
        <f t="shared" ref="G9:G21" si="0">IF(ISBLANK(H9),"",TRUNC(5.04*(H9-36)^2))</f>
        <v>961</v>
      </c>
      <c r="H9" s="88">
        <v>22.19</v>
      </c>
      <c r="I9" s="87">
        <v>0.15</v>
      </c>
      <c r="J9" s="291" t="str">
        <f t="shared" ref="J9:J32" si="1">IF(ISBLANK(H9),"",IF(H9&gt;27,"",IF(H9&lt;=0,"TSM",IF(H9&lt;=0,"SM",IF(H9&lt;=22.75,"KSM",IF(H9&lt;=23.7,"I A",IF(H9&lt;=25,"II A",IF(H9&lt;=27,"III A"))))))))</f>
        <v>KSM</v>
      </c>
      <c r="K9" s="61" t="s">
        <v>191</v>
      </c>
      <c r="L9" s="199">
        <v>6.93</v>
      </c>
      <c r="M9" s="297">
        <v>22.06</v>
      </c>
      <c r="N9" s="91">
        <v>3</v>
      </c>
      <c r="O9" s="91">
        <v>8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</row>
    <row r="10" spans="1:245" s="92" customFormat="1" ht="16.350000000000001" customHeight="1">
      <c r="A10" s="51">
        <v>2</v>
      </c>
      <c r="B10" s="52">
        <v>138</v>
      </c>
      <c r="C10" s="53" t="s">
        <v>383</v>
      </c>
      <c r="D10" s="54" t="s">
        <v>384</v>
      </c>
      <c r="E10" s="55" t="s">
        <v>58</v>
      </c>
      <c r="F10" s="84" t="s">
        <v>172</v>
      </c>
      <c r="G10" s="85">
        <f t="shared" si="0"/>
        <v>726</v>
      </c>
      <c r="H10" s="88">
        <v>23.99</v>
      </c>
      <c r="I10" s="87">
        <v>0.186</v>
      </c>
      <c r="J10" s="291" t="str">
        <f t="shared" si="1"/>
        <v>II A</v>
      </c>
      <c r="K10" s="61" t="s">
        <v>174</v>
      </c>
      <c r="L10" s="298">
        <v>7.42</v>
      </c>
      <c r="M10" s="299"/>
      <c r="N10" s="91">
        <v>3</v>
      </c>
      <c r="O10" s="91">
        <v>4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</row>
    <row r="11" spans="1:245" s="92" customFormat="1" ht="16.350000000000001" customHeight="1">
      <c r="A11" s="51">
        <v>3</v>
      </c>
      <c r="B11" s="52">
        <v>111</v>
      </c>
      <c r="C11" s="53" t="s">
        <v>376</v>
      </c>
      <c r="D11" s="54" t="s">
        <v>377</v>
      </c>
      <c r="E11" s="55" t="s">
        <v>378</v>
      </c>
      <c r="F11" s="84" t="s">
        <v>112</v>
      </c>
      <c r="G11" s="85">
        <f t="shared" si="0"/>
        <v>719</v>
      </c>
      <c r="H11" s="88">
        <v>24.05</v>
      </c>
      <c r="I11" s="87">
        <v>0.27300000000000002</v>
      </c>
      <c r="J11" s="291" t="str">
        <f t="shared" si="1"/>
        <v>II A</v>
      </c>
      <c r="K11" s="61" t="s">
        <v>379</v>
      </c>
      <c r="L11" s="199">
        <v>7.37</v>
      </c>
      <c r="M11" s="299"/>
      <c r="N11" s="91">
        <v>4</v>
      </c>
      <c r="O11" s="91">
        <v>5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</row>
    <row r="12" spans="1:245" s="92" customFormat="1" ht="16.350000000000001" customHeight="1">
      <c r="A12" s="51">
        <v>4</v>
      </c>
      <c r="B12" s="52">
        <v>152</v>
      </c>
      <c r="C12" s="53" t="s">
        <v>66</v>
      </c>
      <c r="D12" s="54" t="s">
        <v>67</v>
      </c>
      <c r="E12" s="55" t="s">
        <v>68</v>
      </c>
      <c r="F12" s="84" t="s">
        <v>48</v>
      </c>
      <c r="G12" s="85">
        <f t="shared" si="0"/>
        <v>716</v>
      </c>
      <c r="H12" s="88">
        <v>24.08</v>
      </c>
      <c r="I12" s="87" t="s">
        <v>173</v>
      </c>
      <c r="J12" s="291" t="str">
        <f t="shared" si="1"/>
        <v>II A</v>
      </c>
      <c r="K12" s="61" t="s">
        <v>69</v>
      </c>
      <c r="L12" s="298"/>
      <c r="M12" s="297">
        <v>23.43</v>
      </c>
      <c r="N12" s="91">
        <v>4</v>
      </c>
      <c r="O12" s="91">
        <v>3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</row>
    <row r="13" spans="1:245" s="92" customFormat="1" ht="16.350000000000001" customHeight="1">
      <c r="A13" s="51">
        <v>5</v>
      </c>
      <c r="B13" s="52">
        <v>53</v>
      </c>
      <c r="C13" s="53" t="s">
        <v>238</v>
      </c>
      <c r="D13" s="54" t="s">
        <v>371</v>
      </c>
      <c r="E13" s="55" t="s">
        <v>372</v>
      </c>
      <c r="F13" s="84" t="s">
        <v>59</v>
      </c>
      <c r="G13" s="85">
        <f t="shared" si="0"/>
        <v>694</v>
      </c>
      <c r="H13" s="88">
        <v>24.26</v>
      </c>
      <c r="I13" s="87">
        <v>0.156</v>
      </c>
      <c r="J13" s="291" t="str">
        <f t="shared" si="1"/>
        <v>II A</v>
      </c>
      <c r="K13" s="61" t="s">
        <v>367</v>
      </c>
      <c r="L13" s="199">
        <v>7.2</v>
      </c>
      <c r="M13" s="297">
        <v>23.76</v>
      </c>
      <c r="N13" s="91">
        <v>3</v>
      </c>
      <c r="O13" s="91">
        <v>5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</row>
    <row r="14" spans="1:245" s="92" customFormat="1" ht="16.350000000000001" customHeight="1">
      <c r="A14" s="51">
        <v>6</v>
      </c>
      <c r="B14" s="52">
        <v>47</v>
      </c>
      <c r="C14" s="53" t="s">
        <v>316</v>
      </c>
      <c r="D14" s="54" t="s">
        <v>317</v>
      </c>
      <c r="E14" s="55" t="s">
        <v>318</v>
      </c>
      <c r="F14" s="84" t="s">
        <v>59</v>
      </c>
      <c r="G14" s="85">
        <f t="shared" si="0"/>
        <v>677</v>
      </c>
      <c r="H14" s="88">
        <v>24.41</v>
      </c>
      <c r="I14" s="87">
        <v>0.186</v>
      </c>
      <c r="J14" s="291" t="str">
        <f t="shared" si="1"/>
        <v>II A</v>
      </c>
      <c r="K14" s="61" t="s">
        <v>319</v>
      </c>
      <c r="L14" s="298"/>
      <c r="M14" s="297">
        <v>24.52</v>
      </c>
      <c r="N14" s="91">
        <v>4</v>
      </c>
      <c r="O14" s="91">
        <v>2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</row>
    <row r="15" spans="1:245" s="92" customFormat="1" ht="16.350000000000001" customHeight="1">
      <c r="A15" s="51">
        <v>7</v>
      </c>
      <c r="B15" s="52">
        <v>51</v>
      </c>
      <c r="C15" s="53" t="s">
        <v>56</v>
      </c>
      <c r="D15" s="54" t="s">
        <v>57</v>
      </c>
      <c r="E15" s="55" t="s">
        <v>58</v>
      </c>
      <c r="F15" s="84" t="s">
        <v>59</v>
      </c>
      <c r="G15" s="85">
        <f t="shared" si="0"/>
        <v>668</v>
      </c>
      <c r="H15" s="88">
        <v>24.48</v>
      </c>
      <c r="I15" s="87">
        <v>0.155</v>
      </c>
      <c r="J15" s="291" t="str">
        <f t="shared" si="1"/>
        <v>II A</v>
      </c>
      <c r="K15" s="61" t="s">
        <v>22</v>
      </c>
      <c r="L15" s="298"/>
      <c r="M15" s="297">
        <v>23.81</v>
      </c>
      <c r="N15" s="91">
        <v>3</v>
      </c>
      <c r="O15" s="91">
        <v>2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</row>
    <row r="16" spans="1:245" s="92" customFormat="1" ht="16.350000000000001" customHeight="1">
      <c r="A16" s="51">
        <v>8</v>
      </c>
      <c r="B16" s="52">
        <v>46</v>
      </c>
      <c r="C16" s="53" t="s">
        <v>460</v>
      </c>
      <c r="D16" s="54" t="s">
        <v>461</v>
      </c>
      <c r="E16" s="55" t="s">
        <v>370</v>
      </c>
      <c r="F16" s="84" t="s">
        <v>59</v>
      </c>
      <c r="G16" s="85">
        <f t="shared" si="0"/>
        <v>649</v>
      </c>
      <c r="H16" s="88">
        <v>24.65</v>
      </c>
      <c r="I16" s="87">
        <v>0.52100000000000002</v>
      </c>
      <c r="J16" s="291" t="str">
        <f t="shared" si="1"/>
        <v>II A</v>
      </c>
      <c r="K16" s="61" t="s">
        <v>319</v>
      </c>
      <c r="L16" s="199">
        <v>6.98</v>
      </c>
      <c r="M16" s="297"/>
      <c r="N16" s="91">
        <v>4</v>
      </c>
      <c r="O16" s="91">
        <v>8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</row>
    <row r="17" spans="1:241" s="92" customFormat="1" ht="16.350000000000001" customHeight="1">
      <c r="A17" s="51">
        <v>9</v>
      </c>
      <c r="B17" s="52">
        <v>48</v>
      </c>
      <c r="C17" s="53" t="s">
        <v>470</v>
      </c>
      <c r="D17" s="54" t="s">
        <v>471</v>
      </c>
      <c r="E17" s="55" t="s">
        <v>472</v>
      </c>
      <c r="F17" s="84" t="s">
        <v>59</v>
      </c>
      <c r="G17" s="85">
        <f t="shared" si="0"/>
        <v>646</v>
      </c>
      <c r="H17" s="88">
        <v>24.67</v>
      </c>
      <c r="I17" s="87">
        <v>0.55900000000000005</v>
      </c>
      <c r="J17" s="291" t="str">
        <f t="shared" si="1"/>
        <v>II A</v>
      </c>
      <c r="K17" s="61" t="s">
        <v>473</v>
      </c>
      <c r="L17" s="298"/>
      <c r="M17" s="299"/>
      <c r="N17" s="91">
        <v>2</v>
      </c>
      <c r="O17" s="91">
        <v>4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</row>
    <row r="18" spans="1:241" s="92" customFormat="1" ht="16.350000000000001" customHeight="1">
      <c r="A18" s="51">
        <v>10</v>
      </c>
      <c r="B18" s="52">
        <v>149</v>
      </c>
      <c r="C18" s="53" t="s">
        <v>399</v>
      </c>
      <c r="D18" s="54" t="s">
        <v>400</v>
      </c>
      <c r="E18" s="55" t="s">
        <v>401</v>
      </c>
      <c r="F18" s="84" t="s">
        <v>48</v>
      </c>
      <c r="G18" s="85">
        <f t="shared" si="0"/>
        <v>583</v>
      </c>
      <c r="H18" s="88">
        <v>25.24</v>
      </c>
      <c r="I18" s="87" t="s">
        <v>173</v>
      </c>
      <c r="J18" s="291" t="str">
        <f t="shared" si="1"/>
        <v>III A</v>
      </c>
      <c r="K18" s="61" t="s">
        <v>263</v>
      </c>
      <c r="L18" s="199">
        <v>7.63</v>
      </c>
      <c r="M18" s="297">
        <v>24.7</v>
      </c>
      <c r="N18" s="91">
        <v>3</v>
      </c>
      <c r="O18" s="91">
        <v>3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</row>
    <row r="19" spans="1:241" s="92" customFormat="1" ht="16.350000000000001" customHeight="1">
      <c r="A19" s="51">
        <v>11</v>
      </c>
      <c r="B19" s="52">
        <v>147</v>
      </c>
      <c r="C19" s="53" t="s">
        <v>293</v>
      </c>
      <c r="D19" s="54" t="s">
        <v>294</v>
      </c>
      <c r="E19" s="55" t="s">
        <v>295</v>
      </c>
      <c r="F19" s="84" t="s">
        <v>48</v>
      </c>
      <c r="G19" s="85">
        <f t="shared" si="0"/>
        <v>555</v>
      </c>
      <c r="H19" s="88">
        <v>25.5</v>
      </c>
      <c r="I19" s="87">
        <v>0.25900000000000001</v>
      </c>
      <c r="J19" s="291" t="str">
        <f t="shared" si="1"/>
        <v>III A</v>
      </c>
      <c r="K19" s="61" t="s">
        <v>296</v>
      </c>
      <c r="L19" s="298"/>
      <c r="M19" s="299"/>
      <c r="N19" s="91">
        <v>3</v>
      </c>
      <c r="O19" s="91">
        <v>6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</row>
    <row r="20" spans="1:241" s="92" customFormat="1" ht="16.350000000000001" customHeight="1">
      <c r="A20" s="51">
        <v>12</v>
      </c>
      <c r="B20" s="52">
        <v>50</v>
      </c>
      <c r="C20" s="53" t="s">
        <v>456</v>
      </c>
      <c r="D20" s="54" t="s">
        <v>457</v>
      </c>
      <c r="E20" s="55" t="s">
        <v>458</v>
      </c>
      <c r="F20" s="84" t="s">
        <v>59</v>
      </c>
      <c r="G20" s="85">
        <f t="shared" si="0"/>
        <v>439</v>
      </c>
      <c r="H20" s="88">
        <v>26.66</v>
      </c>
      <c r="I20" s="87">
        <v>0.17599999999999999</v>
      </c>
      <c r="J20" s="291" t="str">
        <f t="shared" si="1"/>
        <v>III A</v>
      </c>
      <c r="K20" s="61" t="s">
        <v>150</v>
      </c>
      <c r="L20" s="298" t="s">
        <v>28</v>
      </c>
      <c r="M20" s="91"/>
      <c r="N20" s="91">
        <v>2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</row>
    <row r="21" spans="1:241" s="92" customFormat="1" ht="16.350000000000001" customHeight="1">
      <c r="A21" s="51">
        <v>13</v>
      </c>
      <c r="B21" s="52">
        <v>137</v>
      </c>
      <c r="C21" s="53" t="s">
        <v>503</v>
      </c>
      <c r="D21" s="54" t="s">
        <v>504</v>
      </c>
      <c r="E21" s="55" t="s">
        <v>505</v>
      </c>
      <c r="F21" s="84" t="s">
        <v>172</v>
      </c>
      <c r="G21" s="85">
        <f t="shared" si="0"/>
        <v>207</v>
      </c>
      <c r="H21" s="88">
        <v>29.59</v>
      </c>
      <c r="I21" s="87">
        <v>0.187</v>
      </c>
      <c r="J21" s="291" t="str">
        <f t="shared" si="1"/>
        <v/>
      </c>
      <c r="K21" s="61" t="s">
        <v>174</v>
      </c>
      <c r="L21" s="298"/>
      <c r="M21" s="299"/>
      <c r="N21" s="91">
        <v>1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</row>
    <row r="22" spans="1:241" s="92" customFormat="1" ht="16.350000000000001" customHeight="1">
      <c r="A22" s="51" t="s">
        <v>73</v>
      </c>
      <c r="B22" s="52">
        <v>163</v>
      </c>
      <c r="C22" s="53" t="s">
        <v>506</v>
      </c>
      <c r="D22" s="54" t="s">
        <v>507</v>
      </c>
      <c r="E22" s="55" t="s">
        <v>508</v>
      </c>
      <c r="F22" s="84" t="s">
        <v>509</v>
      </c>
      <c r="G22" s="85" t="s">
        <v>73</v>
      </c>
      <c r="H22" s="88">
        <v>23.07</v>
      </c>
      <c r="I22" s="87">
        <v>0.183</v>
      </c>
      <c r="J22" s="291" t="str">
        <f t="shared" si="1"/>
        <v>I A</v>
      </c>
      <c r="K22" s="61" t="s">
        <v>510</v>
      </c>
      <c r="L22" s="298"/>
      <c r="M22" s="297">
        <v>23.29</v>
      </c>
      <c r="N22" s="91">
        <v>4</v>
      </c>
      <c r="O22" s="91">
        <v>4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</row>
    <row r="23" spans="1:241" s="92" customFormat="1" ht="16.350000000000001" customHeight="1">
      <c r="A23" s="51" t="s">
        <v>73</v>
      </c>
      <c r="B23" s="52">
        <v>20</v>
      </c>
      <c r="C23" s="53" t="s">
        <v>364</v>
      </c>
      <c r="D23" s="54" t="s">
        <v>511</v>
      </c>
      <c r="E23" s="55" t="s">
        <v>512</v>
      </c>
      <c r="F23" s="84" t="s">
        <v>145</v>
      </c>
      <c r="G23" s="85" t="s">
        <v>73</v>
      </c>
      <c r="H23" s="88">
        <v>23.66</v>
      </c>
      <c r="I23" s="87">
        <v>0.11899999999999999</v>
      </c>
      <c r="J23" s="291" t="str">
        <f t="shared" si="1"/>
        <v>I A</v>
      </c>
      <c r="K23" s="61" t="s">
        <v>513</v>
      </c>
      <c r="L23" s="298"/>
      <c r="M23" s="299"/>
      <c r="N23" s="91">
        <v>2</v>
      </c>
      <c r="O23" s="91">
        <v>6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</row>
    <row r="24" spans="1:241" s="92" customFormat="1" ht="16.350000000000001" customHeight="1">
      <c r="A24" s="51" t="s">
        <v>73</v>
      </c>
      <c r="B24" s="52">
        <v>162</v>
      </c>
      <c r="C24" s="53" t="s">
        <v>514</v>
      </c>
      <c r="D24" s="54" t="s">
        <v>515</v>
      </c>
      <c r="E24" s="55" t="s">
        <v>516</v>
      </c>
      <c r="F24" s="84" t="s">
        <v>145</v>
      </c>
      <c r="G24" s="85" t="s">
        <v>73</v>
      </c>
      <c r="H24" s="88">
        <v>23.83</v>
      </c>
      <c r="I24" s="87">
        <v>0.16700000000000001</v>
      </c>
      <c r="J24" s="291" t="str">
        <f t="shared" si="1"/>
        <v>II A</v>
      </c>
      <c r="K24" s="61" t="s">
        <v>517</v>
      </c>
      <c r="L24" s="298"/>
      <c r="M24" s="299"/>
      <c r="N24" s="91">
        <v>2</v>
      </c>
      <c r="O24" s="91">
        <v>5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</row>
    <row r="25" spans="1:241" s="92" customFormat="1" ht="16.350000000000001" customHeight="1">
      <c r="A25" s="51" t="s">
        <v>73</v>
      </c>
      <c r="B25" s="52">
        <v>22</v>
      </c>
      <c r="C25" s="53" t="s">
        <v>518</v>
      </c>
      <c r="D25" s="54" t="s">
        <v>519</v>
      </c>
      <c r="E25" s="55" t="s">
        <v>520</v>
      </c>
      <c r="F25" s="84" t="s">
        <v>145</v>
      </c>
      <c r="G25" s="85" t="s">
        <v>73</v>
      </c>
      <c r="H25" s="88">
        <v>24.86</v>
      </c>
      <c r="I25" s="87" t="s">
        <v>173</v>
      </c>
      <c r="J25" s="291" t="str">
        <f t="shared" si="1"/>
        <v>II A</v>
      </c>
      <c r="K25" s="61" t="s">
        <v>513</v>
      </c>
      <c r="L25" s="298"/>
      <c r="M25" s="299"/>
      <c r="N25" s="91">
        <v>2</v>
      </c>
      <c r="O25" s="91">
        <v>3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</row>
    <row r="26" spans="1:241" s="92" customFormat="1" ht="16.350000000000001" customHeight="1">
      <c r="A26" s="51"/>
      <c r="B26" s="52">
        <v>6</v>
      </c>
      <c r="C26" s="53" t="s">
        <v>298</v>
      </c>
      <c r="D26" s="54" t="s">
        <v>299</v>
      </c>
      <c r="E26" s="55" t="s">
        <v>300</v>
      </c>
      <c r="F26" s="84" t="s">
        <v>21</v>
      </c>
      <c r="G26" s="85"/>
      <c r="H26" s="88" t="s">
        <v>521</v>
      </c>
      <c r="I26" s="87"/>
      <c r="J26" s="291" t="str">
        <f t="shared" si="1"/>
        <v/>
      </c>
      <c r="K26" s="61" t="s">
        <v>135</v>
      </c>
      <c r="L26" s="298"/>
      <c r="M26" s="299"/>
      <c r="N26" s="91">
        <v>2</v>
      </c>
      <c r="O26" s="91">
        <v>2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</row>
    <row r="27" spans="1:241" s="92" customFormat="1" ht="16.350000000000001" customHeight="1">
      <c r="A27" s="51"/>
      <c r="B27" s="52">
        <v>134</v>
      </c>
      <c r="C27" s="53" t="s">
        <v>368</v>
      </c>
      <c r="D27" s="54" t="s">
        <v>369</v>
      </c>
      <c r="E27" s="55" t="s">
        <v>370</v>
      </c>
      <c r="F27" s="84" t="s">
        <v>26</v>
      </c>
      <c r="G27" s="85"/>
      <c r="H27" s="88" t="s">
        <v>522</v>
      </c>
      <c r="I27" s="87">
        <v>0.17599999999999999</v>
      </c>
      <c r="J27" s="291" t="str">
        <f t="shared" si="1"/>
        <v/>
      </c>
      <c r="K27" s="61" t="s">
        <v>169</v>
      </c>
      <c r="L27" s="199">
        <v>7.1</v>
      </c>
      <c r="M27" s="299"/>
      <c r="N27" s="91">
        <v>4</v>
      </c>
      <c r="O27" s="91">
        <v>6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</row>
    <row r="28" spans="1:241" s="92" customFormat="1" ht="16.350000000000001" customHeight="1">
      <c r="A28" s="51"/>
      <c r="B28" s="52">
        <v>55</v>
      </c>
      <c r="C28" s="53" t="s">
        <v>364</v>
      </c>
      <c r="D28" s="54" t="s">
        <v>365</v>
      </c>
      <c r="E28" s="55" t="s">
        <v>366</v>
      </c>
      <c r="F28" s="84" t="s">
        <v>59</v>
      </c>
      <c r="G28" s="85"/>
      <c r="H28" s="88" t="s">
        <v>72</v>
      </c>
      <c r="I28" s="87"/>
      <c r="J28" s="291" t="str">
        <f t="shared" si="1"/>
        <v/>
      </c>
      <c r="K28" s="61" t="s">
        <v>367</v>
      </c>
      <c r="L28" s="298"/>
      <c r="M28" s="299"/>
      <c r="N28" s="91">
        <v>2</v>
      </c>
      <c r="O28" s="91">
        <v>1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</row>
    <row r="29" spans="1:241" s="92" customFormat="1" ht="16.350000000000001" customHeight="1">
      <c r="A29" s="51"/>
      <c r="B29" s="52">
        <v>72</v>
      </c>
      <c r="C29" s="53" t="s">
        <v>402</v>
      </c>
      <c r="D29" s="54" t="s">
        <v>403</v>
      </c>
      <c r="E29" s="55" t="s">
        <v>404</v>
      </c>
      <c r="F29" s="84" t="s">
        <v>117</v>
      </c>
      <c r="G29" s="85"/>
      <c r="H29" s="88" t="s">
        <v>72</v>
      </c>
      <c r="I29" s="87"/>
      <c r="J29" s="291" t="str">
        <f t="shared" si="1"/>
        <v/>
      </c>
      <c r="K29" s="61" t="s">
        <v>169</v>
      </c>
      <c r="L29" s="298">
        <v>7.83</v>
      </c>
      <c r="M29" s="299"/>
      <c r="N29" s="91">
        <v>3</v>
      </c>
      <c r="O29" s="91">
        <v>1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</row>
    <row r="30" spans="1:241" s="92" customFormat="1" ht="16.350000000000001" customHeight="1">
      <c r="A30" s="51"/>
      <c r="B30" s="52">
        <v>61</v>
      </c>
      <c r="C30" s="53" t="s">
        <v>405</v>
      </c>
      <c r="D30" s="54" t="s">
        <v>406</v>
      </c>
      <c r="E30" s="55" t="s">
        <v>407</v>
      </c>
      <c r="F30" s="84" t="s">
        <v>236</v>
      </c>
      <c r="G30" s="85"/>
      <c r="H30" s="88" t="s">
        <v>72</v>
      </c>
      <c r="I30" s="87"/>
      <c r="J30" s="291" t="str">
        <f t="shared" si="1"/>
        <v/>
      </c>
      <c r="K30" s="61" t="s">
        <v>408</v>
      </c>
      <c r="L30" s="298" t="s">
        <v>28</v>
      </c>
      <c r="M30" s="297">
        <v>25.58</v>
      </c>
      <c r="N30" s="91">
        <v>4</v>
      </c>
      <c r="O30" s="91">
        <v>1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</row>
    <row r="31" spans="1:241" s="92" customFormat="1" ht="16.350000000000001" customHeight="1">
      <c r="A31" s="51"/>
      <c r="B31" s="52">
        <v>120</v>
      </c>
      <c r="C31" s="53" t="s">
        <v>430</v>
      </c>
      <c r="D31" s="54" t="s">
        <v>431</v>
      </c>
      <c r="E31" s="55" t="s">
        <v>432</v>
      </c>
      <c r="F31" s="84" t="s">
        <v>172</v>
      </c>
      <c r="G31" s="85"/>
      <c r="H31" s="88" t="s">
        <v>72</v>
      </c>
      <c r="I31" s="87"/>
      <c r="J31" s="291" t="str">
        <f t="shared" si="1"/>
        <v/>
      </c>
      <c r="K31" s="61" t="s">
        <v>416</v>
      </c>
      <c r="L31" s="298"/>
      <c r="M31" s="299"/>
      <c r="N31" s="91">
        <v>1</v>
      </c>
      <c r="O31" s="91">
        <v>4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</row>
    <row r="32" spans="1:241" s="92" customFormat="1" ht="16.350000000000001" customHeight="1">
      <c r="A32" s="51"/>
      <c r="B32" s="52">
        <v>28</v>
      </c>
      <c r="C32" s="53" t="s">
        <v>424</v>
      </c>
      <c r="D32" s="54" t="s">
        <v>425</v>
      </c>
      <c r="E32" s="55" t="s">
        <v>426</v>
      </c>
      <c r="F32" s="84" t="s">
        <v>21</v>
      </c>
      <c r="G32" s="85"/>
      <c r="H32" s="88" t="s">
        <v>72</v>
      </c>
      <c r="I32" s="87"/>
      <c r="J32" s="291" t="str">
        <f t="shared" si="1"/>
        <v/>
      </c>
      <c r="K32" s="61" t="s">
        <v>135</v>
      </c>
      <c r="L32" s="199">
        <v>7.06</v>
      </c>
      <c r="M32" s="297">
        <v>23.72</v>
      </c>
      <c r="N32" s="91">
        <v>1</v>
      </c>
      <c r="O32" s="91">
        <v>6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</row>
  </sheetData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LSSA</vt:lpstr>
      <vt:lpstr>60 M bėg.</vt:lpstr>
      <vt:lpstr>60 M Suvestine</vt:lpstr>
      <vt:lpstr>60 V bėg.</vt:lpstr>
      <vt:lpstr>60 V Suvestinė</vt:lpstr>
      <vt:lpstr>200 M bėg.</vt:lpstr>
      <vt:lpstr>200 M Suvestinė</vt:lpstr>
      <vt:lpstr>200 V bėg</vt:lpstr>
      <vt:lpstr>200 V Suvestine</vt:lpstr>
      <vt:lpstr>400 M </vt:lpstr>
      <vt:lpstr>400 V bėg.</vt:lpstr>
      <vt:lpstr>400 V Suvestine</vt:lpstr>
      <vt:lpstr>800 M</vt:lpstr>
      <vt:lpstr>800 V bėg.</vt:lpstr>
      <vt:lpstr>800 V bėg. Suvestinė</vt:lpstr>
      <vt:lpstr>1500 M</vt:lpstr>
      <vt:lpstr>1500 V</vt:lpstr>
      <vt:lpstr>3000 V</vt:lpstr>
      <vt:lpstr>60bb M finalas</vt:lpstr>
      <vt:lpstr>60bb V finalas</vt:lpstr>
      <vt:lpstr>4x200 M</vt:lpstr>
      <vt:lpstr>4x200 V</vt:lpstr>
      <vt:lpstr>3000ej M</vt:lpstr>
      <vt:lpstr>Aukstis M</vt:lpstr>
      <vt:lpstr>Aukstis V</vt:lpstr>
      <vt:lpstr>Tolis M</vt:lpstr>
      <vt:lpstr>Tolis V</vt:lpstr>
      <vt:lpstr>Trisuolis M</vt:lpstr>
      <vt:lpstr>Trisuolis V</vt:lpstr>
      <vt:lpstr>Rutulys M</vt:lpstr>
      <vt:lpstr>Rutulys V</vt:lpstr>
      <vt:lpstr>KOMANDINIAI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2018-02-05T06:48:11Z</cp:lastPrinted>
  <dcterms:created xsi:type="dcterms:W3CDTF">2018-02-03T09:26:27Z</dcterms:created>
  <dcterms:modified xsi:type="dcterms:W3CDTF">2018-02-05T14:42:39Z</dcterms:modified>
</cp:coreProperties>
</file>